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730"/>
  <workbookPr codeName="ThisWorkbook" defaultThemeVersion="124226"/>
  <mc:AlternateContent xmlns:mc="http://schemas.openxmlformats.org/markup-compatibility/2006">
    <mc:Choice Requires="x15">
      <x15ac:absPath xmlns:x15ac="http://schemas.microsoft.com/office/spreadsheetml/2010/11/ac" url="L:\PROJEKTI\PROJEKTI_AKTUALNI\KOMUNALNO_PODUZECE_KRIZEVCI_533\PROJEKTNA_DOKUMENTACIJA\001_DON MREŽA\KNJIGA 4\"/>
    </mc:Choice>
  </mc:AlternateContent>
  <xr:revisionPtr revIDLastSave="0" documentId="13_ncr:1_{1A1B2668-6C83-40EC-8A89-C0779E13479F}" xr6:coauthVersionLast="45" xr6:coauthVersionMax="45" xr10:uidLastSave="{00000000-0000-0000-0000-000000000000}"/>
  <workbookProtection workbookAlgorithmName="SHA-512" workbookHashValue="wMN5VqIrViqkxeN0nw+Ai/kpoKXsfv0HF62NiOVHpLdxwzuoX7wF5DhrxSgB8/CmmhwDaXW6uK66Sk4R6H8/sA==" workbookSaltValue="yj0pLHsAWPeLbj46iYyu0g==" workbookSpinCount="100000" lockStructure="1"/>
  <bookViews>
    <workbookView xWindow="-120" yWindow="-120" windowWidth="29040" windowHeight="15840" tabRatio="850" activeTab="11" xr2:uid="{00000000-000D-0000-FFFF-FFFF00000000}"/>
  </bookViews>
  <sheets>
    <sheet name="REKAPITULACIJA" sheetId="8" r:id="rId1"/>
    <sheet name="1. KOLEKTORI" sheetId="2" r:id="rId2"/>
    <sheet name="1. Pitanja za KKP" sheetId="3" state="hidden" r:id="rId3"/>
    <sheet name="2. Pitanja za KKP" sheetId="5" state="hidden" r:id="rId4"/>
    <sheet name="2. SANACIJA KOLEKTORA- CIPP" sheetId="16" r:id="rId5"/>
    <sheet name="3. PRELJEVI" sheetId="10" r:id="rId6"/>
    <sheet name="4. VODOOPSKRBA građ" sheetId="11" r:id="rId7"/>
    <sheet name="5. REKONSTR VODOVODA građ" sheetId="15" r:id="rId8"/>
    <sheet name="6.REKONSTR VODOVODA stroj" sheetId="19" r:id="rId9"/>
    <sheet name="7. CS- građ" sheetId="13" r:id="rId10"/>
    <sheet name="8. CS elektro" sheetId="17" r:id="rId11"/>
    <sheet name="9. CS stroj" sheetId="18" r:id="rId12"/>
  </sheets>
  <externalReferences>
    <externalReference r:id="rId13"/>
  </externalReferences>
  <definedNames>
    <definedName name="_Toc480224796" localSheetId="1">'1. KOLEKTORI'!#REF!</definedName>
    <definedName name="_Toc480224796" localSheetId="4">'2. SANACIJA KOLEKTORA- CIPP'!#REF!</definedName>
    <definedName name="_Toc480224796" localSheetId="5">'3. PRELJEVI'!#REF!</definedName>
    <definedName name="_Toc480224838" localSheetId="1">'1. KOLEKTORI'!$B$121</definedName>
    <definedName name="_Toc480224838" localSheetId="4">'2. SANACIJA KOLEKTORA- CIPP'!#REF!</definedName>
    <definedName name="_Toc480224838" localSheetId="5">'3. PRELJEVI'!#REF!</definedName>
    <definedName name="_xlnm.Print_Area" localSheetId="1">'1. KOLEKTORI'!$A$1:$P$258</definedName>
    <definedName name="_xlnm.Print_Area" localSheetId="4">'2. SANACIJA KOLEKTORA- CIPP'!$A$1:$G$49</definedName>
    <definedName name="_xlnm.Print_Area" localSheetId="5">'3. PRELJEVI'!$A$1:$K$72</definedName>
    <definedName name="_xlnm.Print_Area" localSheetId="6">'4. VODOOPSKRBA građ'!$A$1:$M$391</definedName>
    <definedName name="_xlnm.Print_Area" localSheetId="7">'5. REKONSTR VODOVODA građ'!$A$1:$AC$213</definedName>
    <definedName name="_xlnm.Print_Area" localSheetId="9">'7. CS- građ'!$A$1:$X$56</definedName>
    <definedName name="_xlnm.Print_Area" localSheetId="10">'8. CS elektro'!$A$1:$W$9</definedName>
    <definedName name="_xlnm.Print_Area" localSheetId="11">'9. CS stroj'!$A$1:$X$56</definedName>
    <definedName name="_xlnm.Print_Area" localSheetId="0">REKAPITULACIJA!$A$1:$B$14</definedName>
    <definedName name="_xlnm.Print_Titles" localSheetId="1">'1. KOLEKTORI'!$3:$5</definedName>
    <definedName name="_xlnm.Print_Titles" localSheetId="4">'2. SANACIJA KOLEKTORA- CIPP'!$2:$4</definedName>
    <definedName name="_xlnm.Print_Titles" localSheetId="5">'3. PRELJEVI'!$2:$3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4" i="8" l="1"/>
  <c r="C33" i="13"/>
  <c r="B33" i="13"/>
  <c r="B28" i="13"/>
  <c r="C27" i="13"/>
  <c r="C26" i="13"/>
  <c r="C25" i="13"/>
  <c r="C24" i="13"/>
  <c r="C17" i="13"/>
  <c r="B17" i="13"/>
  <c r="C9" i="13"/>
  <c r="C8" i="13"/>
  <c r="C7" i="13"/>
  <c r="C6" i="13"/>
  <c r="C5" i="13"/>
  <c r="AC103" i="15"/>
  <c r="AA112" i="15"/>
  <c r="AC112" i="15" s="1"/>
  <c r="AC133" i="15"/>
  <c r="AC135" i="15"/>
  <c r="AC136" i="15"/>
  <c r="AC137" i="15"/>
  <c r="AC138" i="15"/>
  <c r="AC139" i="15"/>
  <c r="AC140" i="15"/>
  <c r="AC141" i="15"/>
  <c r="AC142" i="15"/>
  <c r="AC143" i="15"/>
  <c r="AC144" i="15"/>
  <c r="AC145" i="15"/>
  <c r="AC146" i="15"/>
  <c r="AC147" i="15"/>
  <c r="AC148" i="15"/>
  <c r="AC149" i="15"/>
  <c r="AC150" i="15"/>
  <c r="AC151" i="15"/>
  <c r="AC152" i="15"/>
  <c r="AC153" i="15"/>
  <c r="AC154" i="15"/>
  <c r="AC155" i="15"/>
  <c r="AC156" i="15"/>
  <c r="AC157" i="15"/>
  <c r="AC158" i="15"/>
  <c r="AC159" i="15"/>
  <c r="AC160" i="15"/>
  <c r="AC161" i="15"/>
  <c r="AC162" i="15"/>
  <c r="AC163" i="15"/>
  <c r="AC164" i="15"/>
  <c r="AC165" i="15"/>
  <c r="AC166" i="15"/>
  <c r="AC167" i="15"/>
  <c r="AC168" i="15"/>
  <c r="AC169" i="15"/>
  <c r="AC170" i="15"/>
  <c r="AC171" i="15"/>
  <c r="AC172" i="15"/>
  <c r="AC173" i="15"/>
  <c r="AC174" i="15"/>
  <c r="AC175" i="15"/>
  <c r="AC176" i="15"/>
  <c r="AC177" i="15"/>
  <c r="AC178" i="15"/>
  <c r="AC179" i="15"/>
  <c r="AC180" i="15"/>
  <c r="AC181" i="15"/>
  <c r="AC182" i="15"/>
  <c r="AC183" i="15"/>
  <c r="AC184" i="15"/>
  <c r="AC134" i="15"/>
  <c r="AA184" i="15"/>
  <c r="AA183" i="15"/>
  <c r="AA182" i="15"/>
  <c r="AA181" i="15"/>
  <c r="AA180" i="15"/>
  <c r="AA179" i="15"/>
  <c r="AA178" i="15"/>
  <c r="AA177" i="15"/>
  <c r="AA176" i="15"/>
  <c r="AA175" i="15"/>
  <c r="AA174" i="15"/>
  <c r="AA173" i="15"/>
  <c r="AA172" i="15"/>
  <c r="AA171" i="15"/>
  <c r="AA170" i="15"/>
  <c r="AA169" i="15"/>
  <c r="AA168" i="15"/>
  <c r="AA167" i="15"/>
  <c r="AA166" i="15"/>
  <c r="AA165" i="15"/>
  <c r="AA164" i="15"/>
  <c r="AA163" i="15"/>
  <c r="AA162" i="15"/>
  <c r="AA161" i="15"/>
  <c r="AA160" i="15"/>
  <c r="AA159" i="15"/>
  <c r="AA158" i="15"/>
  <c r="AA157" i="15"/>
  <c r="AA156" i="15"/>
  <c r="AA155" i="15"/>
  <c r="AA154" i="15"/>
  <c r="AA153" i="15"/>
  <c r="AA152" i="15"/>
  <c r="AA151" i="15"/>
  <c r="AA150" i="15"/>
  <c r="AA149" i="15"/>
  <c r="AA148" i="15"/>
  <c r="AA147" i="15"/>
  <c r="AA146" i="15"/>
  <c r="AA145" i="15"/>
  <c r="AA144" i="15"/>
  <c r="AA143" i="15"/>
  <c r="AA142" i="15"/>
  <c r="AA141" i="15"/>
  <c r="AA140" i="15"/>
  <c r="AA139" i="15"/>
  <c r="AA138" i="15"/>
  <c r="AA137" i="15"/>
  <c r="AA136" i="15"/>
  <c r="AA135" i="15"/>
  <c r="AA134" i="15"/>
  <c r="AA210" i="15"/>
  <c r="AC210" i="15" s="1"/>
  <c r="AA209" i="15"/>
  <c r="AC209" i="15" s="1"/>
  <c r="AA208" i="15"/>
  <c r="AC208" i="15" s="1"/>
  <c r="AA207" i="15"/>
  <c r="AC207" i="15" s="1"/>
  <c r="C186" i="15" l="1"/>
  <c r="C104" i="15"/>
  <c r="B89" i="15"/>
  <c r="B87" i="15"/>
  <c r="C69" i="15"/>
  <c r="B69" i="15"/>
  <c r="C60" i="15"/>
  <c r="B60" i="15"/>
  <c r="C58" i="15"/>
  <c r="C57" i="15"/>
  <c r="C56" i="15"/>
  <c r="C8" i="15"/>
  <c r="C7" i="15"/>
  <c r="C6" i="15"/>
  <c r="C59" i="10"/>
  <c r="B59" i="10"/>
  <c r="C50" i="10"/>
  <c r="C45" i="10"/>
  <c r="C34" i="10"/>
  <c r="B34" i="10"/>
  <c r="I72" i="10"/>
  <c r="K72" i="10" s="1"/>
  <c r="I71" i="10"/>
  <c r="K71" i="10" s="1"/>
  <c r="C71" i="10"/>
  <c r="C70" i="10"/>
  <c r="C30" i="16"/>
  <c r="C6" i="16"/>
  <c r="C69" i="10" s="1"/>
  <c r="C5" i="16"/>
  <c r="N258" i="2"/>
  <c r="P258" i="2" s="1"/>
  <c r="N257" i="2"/>
  <c r="P257" i="2" s="1"/>
  <c r="N157" i="2"/>
  <c r="P157" i="2" s="1"/>
  <c r="G77" i="11"/>
  <c r="F77" i="11"/>
  <c r="E77" i="11"/>
  <c r="K69" i="11"/>
  <c r="M69" i="11" s="1"/>
  <c r="M207" i="2"/>
  <c r="K207" i="2"/>
  <c r="H207" i="2"/>
  <c r="J207" i="2"/>
  <c r="F28" i="2"/>
  <c r="G28" i="2"/>
  <c r="H28" i="2"/>
  <c r="I28" i="2"/>
  <c r="J28" i="2"/>
  <c r="K28" i="2"/>
  <c r="M28" i="2"/>
  <c r="E28" i="2"/>
  <c r="N25" i="2"/>
  <c r="N6" i="2"/>
  <c r="P6" i="2" s="1"/>
  <c r="N10" i="2"/>
  <c r="P10" i="2" s="1"/>
  <c r="N165" i="2"/>
  <c r="P165" i="2" s="1"/>
  <c r="N166" i="2"/>
  <c r="P166" i="2" s="1"/>
  <c r="N167" i="2"/>
  <c r="P167" i="2" s="1"/>
  <c r="N149" i="2"/>
  <c r="P149" i="2" s="1"/>
  <c r="N155" i="2"/>
  <c r="P155" i="2" s="1"/>
  <c r="N159" i="2"/>
  <c r="P159" i="2" s="1"/>
  <c r="K77" i="11" l="1"/>
  <c r="M77" i="11" s="1"/>
  <c r="C72" i="10"/>
  <c r="V6" i="13"/>
  <c r="X6" i="13" s="1"/>
  <c r="V7" i="13"/>
  <c r="X7" i="13" s="1"/>
  <c r="V8" i="13"/>
  <c r="X8" i="13" s="1"/>
  <c r="V9" i="13"/>
  <c r="X9" i="13" s="1"/>
  <c r="V5" i="13"/>
  <c r="X5" i="13" s="1"/>
  <c r="AA8" i="15"/>
  <c r="AC8" i="15" s="1"/>
  <c r="AA7" i="15"/>
  <c r="AC7" i="15" s="1"/>
  <c r="AA6" i="15"/>
  <c r="AC6" i="15" s="1"/>
  <c r="B7" i="16"/>
  <c r="B12" i="11"/>
  <c r="B11" i="11"/>
  <c r="I70" i="10"/>
  <c r="K70" i="10" s="1"/>
  <c r="I69" i="10"/>
  <c r="K69" i="10" s="1"/>
  <c r="K68" i="10" s="1"/>
  <c r="B6" i="16"/>
  <c r="B69" i="10" s="1"/>
  <c r="B5" i="16"/>
  <c r="N7" i="2"/>
  <c r="P7" i="2" s="1"/>
  <c r="N9" i="2"/>
  <c r="P9" i="2" s="1"/>
  <c r="G30" i="16" l="1"/>
  <c r="N97" i="2" l="1"/>
  <c r="P97" i="2" s="1"/>
  <c r="N15" i="2" l="1"/>
  <c r="P15" i="2" s="1"/>
  <c r="N8" i="2"/>
  <c r="P8" i="2" s="1"/>
  <c r="A3" i="8"/>
  <c r="V56" i="18"/>
  <c r="X56" i="18" s="1"/>
  <c r="G49" i="16"/>
  <c r="G45" i="16"/>
  <c r="G21" i="16"/>
  <c r="G22" i="16"/>
  <c r="G23" i="16"/>
  <c r="G24" i="16"/>
  <c r="G25" i="16"/>
  <c r="V45" i="18"/>
  <c r="X45" i="18" s="1"/>
  <c r="AA110" i="19"/>
  <c r="AC110" i="19" s="1"/>
  <c r="AA111" i="19"/>
  <c r="AC111" i="19" s="1"/>
  <c r="AA112" i="19"/>
  <c r="AC112" i="19" s="1"/>
  <c r="AA113" i="19"/>
  <c r="AC113" i="19" s="1"/>
  <c r="AA114" i="19"/>
  <c r="AC114" i="19" s="1"/>
  <c r="AA116" i="19"/>
  <c r="AC116" i="19" s="1"/>
  <c r="AA118" i="19"/>
  <c r="AC118" i="19" s="1"/>
  <c r="AA120" i="19"/>
  <c r="AC120" i="19" s="1"/>
  <c r="AA121" i="19"/>
  <c r="AC121" i="19" s="1"/>
  <c r="AA122" i="19"/>
  <c r="AC122" i="19" s="1"/>
  <c r="AA123" i="19"/>
  <c r="AC123" i="19" s="1"/>
  <c r="AA124" i="19"/>
  <c r="AC124" i="19" s="1"/>
  <c r="AA125" i="19"/>
  <c r="AC125" i="19" s="1"/>
  <c r="AA126" i="19"/>
  <c r="AC126" i="19" s="1"/>
  <c r="AA128" i="19"/>
  <c r="AC128" i="19" s="1"/>
  <c r="AA130" i="19"/>
  <c r="AC130" i="19" s="1"/>
  <c r="AA132" i="19"/>
  <c r="AC132" i="19" s="1"/>
  <c r="AA134" i="19"/>
  <c r="AC134" i="19" s="1"/>
  <c r="AA138" i="19"/>
  <c r="AC138" i="19" s="1"/>
  <c r="AA139" i="19"/>
  <c r="AC139" i="19" s="1"/>
  <c r="AA140" i="19"/>
  <c r="AC140" i="19" s="1"/>
  <c r="AA141" i="19"/>
  <c r="AC141" i="19" s="1"/>
  <c r="AA143" i="19"/>
  <c r="AC143" i="19" s="1"/>
  <c r="AA145" i="19"/>
  <c r="AC145" i="19" s="1"/>
  <c r="AA146" i="19"/>
  <c r="AC146" i="19" s="1"/>
  <c r="AA148" i="19"/>
  <c r="AC148" i="19" s="1"/>
  <c r="AA108" i="19"/>
  <c r="AC108" i="19" s="1"/>
  <c r="AA27" i="19"/>
  <c r="AC27" i="19" s="1"/>
  <c r="AA28" i="19"/>
  <c r="AC28" i="19" s="1"/>
  <c r="AA29" i="19"/>
  <c r="AC29" i="19" s="1"/>
  <c r="AA30" i="19"/>
  <c r="AC30" i="19" s="1"/>
  <c r="AA31" i="19"/>
  <c r="AC31" i="19" s="1"/>
  <c r="AA32" i="19"/>
  <c r="AC32" i="19" s="1"/>
  <c r="AA33" i="19"/>
  <c r="AC33" i="19" s="1"/>
  <c r="AA34" i="19"/>
  <c r="AC34" i="19" s="1"/>
  <c r="AA35" i="19"/>
  <c r="AC35" i="19" s="1"/>
  <c r="AA36" i="19"/>
  <c r="AC36" i="19" s="1"/>
  <c r="AA37" i="19"/>
  <c r="AC37" i="19" s="1"/>
  <c r="AA38" i="19"/>
  <c r="AC38" i="19" s="1"/>
  <c r="AA39" i="19"/>
  <c r="AC39" i="19" s="1"/>
  <c r="AA40" i="19"/>
  <c r="AC40" i="19" s="1"/>
  <c r="AA41" i="19"/>
  <c r="AC41" i="19" s="1"/>
  <c r="AA42" i="19"/>
  <c r="AC42" i="19" s="1"/>
  <c r="AA43" i="19"/>
  <c r="AC43" i="19" s="1"/>
  <c r="AA44" i="19"/>
  <c r="AC44" i="19" s="1"/>
  <c r="AA45" i="19"/>
  <c r="AC45" i="19" s="1"/>
  <c r="AA46" i="19"/>
  <c r="AC46" i="19" s="1"/>
  <c r="AA47" i="19"/>
  <c r="AC47" i="19" s="1"/>
  <c r="AA48" i="19"/>
  <c r="AC48" i="19" s="1"/>
  <c r="AA49" i="19"/>
  <c r="AC49" i="19" s="1"/>
  <c r="AA50" i="19"/>
  <c r="AC50" i="19" s="1"/>
  <c r="AA51" i="19"/>
  <c r="AC51" i="19" s="1"/>
  <c r="AA52" i="19"/>
  <c r="AC52" i="19" s="1"/>
  <c r="AA53" i="19"/>
  <c r="AC53" i="19" s="1"/>
  <c r="AA54" i="19"/>
  <c r="AC54" i="19" s="1"/>
  <c r="AA55" i="19"/>
  <c r="AC55" i="19" s="1"/>
  <c r="AA56" i="19"/>
  <c r="AC56" i="19" s="1"/>
  <c r="AA57" i="19"/>
  <c r="AC57" i="19" s="1"/>
  <c r="AA58" i="19"/>
  <c r="AC58" i="19" s="1"/>
  <c r="AA59" i="19"/>
  <c r="AC59" i="19" s="1"/>
  <c r="AA60" i="19"/>
  <c r="AC60" i="19" s="1"/>
  <c r="AA61" i="19"/>
  <c r="AC61" i="19" s="1"/>
  <c r="AA62" i="19"/>
  <c r="AC62" i="19" s="1"/>
  <c r="AA63" i="19"/>
  <c r="AC63" i="19" s="1"/>
  <c r="AA64" i="19"/>
  <c r="AC64" i="19" s="1"/>
  <c r="AA65" i="19"/>
  <c r="AC65" i="19" s="1"/>
  <c r="AA66" i="19"/>
  <c r="AC66" i="19" s="1"/>
  <c r="AA67" i="19"/>
  <c r="AC67" i="19" s="1"/>
  <c r="AA68" i="19"/>
  <c r="AC68" i="19" s="1"/>
  <c r="AA69" i="19"/>
  <c r="AC69" i="19" s="1"/>
  <c r="AA70" i="19"/>
  <c r="AC70" i="19" s="1"/>
  <c r="AA71" i="19"/>
  <c r="AC71" i="19" s="1"/>
  <c r="AA72" i="19"/>
  <c r="AC72" i="19" s="1"/>
  <c r="AA73" i="19"/>
  <c r="AC73" i="19" s="1"/>
  <c r="AA74" i="19"/>
  <c r="AC74" i="19" s="1"/>
  <c r="AA75" i="19"/>
  <c r="AC75" i="19" s="1"/>
  <c r="AA76" i="19"/>
  <c r="AC76" i="19" s="1"/>
  <c r="AA77" i="19"/>
  <c r="AC77" i="19" s="1"/>
  <c r="AA78" i="19"/>
  <c r="AC78" i="19" s="1"/>
  <c r="AA79" i="19"/>
  <c r="AC79" i="19" s="1"/>
  <c r="AA80" i="19"/>
  <c r="AC80" i="19" s="1"/>
  <c r="AA81" i="19"/>
  <c r="AC81" i="19" s="1"/>
  <c r="AA82" i="19"/>
  <c r="AC82" i="19" s="1"/>
  <c r="AA83" i="19"/>
  <c r="AC83" i="19" s="1"/>
  <c r="AA84" i="19"/>
  <c r="AC84" i="19" s="1"/>
  <c r="AA85" i="19"/>
  <c r="AC85" i="19" s="1"/>
  <c r="AA86" i="19"/>
  <c r="AC86" i="19" s="1"/>
  <c r="AA87" i="19"/>
  <c r="AC87" i="19" s="1"/>
  <c r="AA88" i="19"/>
  <c r="AC88" i="19" s="1"/>
  <c r="AA89" i="19"/>
  <c r="AC89" i="19" s="1"/>
  <c r="AA90" i="19"/>
  <c r="AC90" i="19" s="1"/>
  <c r="AA91" i="19"/>
  <c r="AC91" i="19" s="1"/>
  <c r="AA92" i="19"/>
  <c r="AC92" i="19" s="1"/>
  <c r="AA93" i="19"/>
  <c r="AC93" i="19" s="1"/>
  <c r="AA94" i="19"/>
  <c r="AC94" i="19" s="1"/>
  <c r="AA95" i="19"/>
  <c r="AC95" i="19" s="1"/>
  <c r="AA96" i="19"/>
  <c r="AC96" i="19" s="1"/>
  <c r="AA97" i="19"/>
  <c r="AC97" i="19" s="1"/>
  <c r="AA98" i="19"/>
  <c r="AC98" i="19" s="1"/>
  <c r="AA99" i="19"/>
  <c r="AC99" i="19" s="1"/>
  <c r="AA100" i="19"/>
  <c r="AC100" i="19" s="1"/>
  <c r="AA101" i="19"/>
  <c r="AC101" i="19" s="1"/>
  <c r="AA102" i="19"/>
  <c r="AC102" i="19" s="1"/>
  <c r="AA103" i="19"/>
  <c r="AC103" i="19" s="1"/>
  <c r="AA104" i="19"/>
  <c r="AC104" i="19" s="1"/>
  <c r="AA105" i="19"/>
  <c r="AC105" i="19" s="1"/>
  <c r="AA26" i="19"/>
  <c r="AC26" i="19" s="1"/>
  <c r="AA20" i="19"/>
  <c r="AC20" i="19" s="1"/>
  <c r="AA21" i="19"/>
  <c r="AC21" i="19" s="1"/>
  <c r="AA22" i="19"/>
  <c r="AC22" i="19" s="1"/>
  <c r="AA23" i="19"/>
  <c r="AC23" i="19" s="1"/>
  <c r="AA24" i="19"/>
  <c r="AC24" i="19" s="1"/>
  <c r="AA19" i="19"/>
  <c r="AC19" i="19" s="1"/>
  <c r="AA17" i="19"/>
  <c r="AC17" i="19" s="1"/>
  <c r="AA13" i="19"/>
  <c r="AC13" i="19" s="1"/>
  <c r="AA14" i="19"/>
  <c r="AC14" i="19" s="1"/>
  <c r="AA15" i="19"/>
  <c r="AC15" i="19" s="1"/>
  <c r="AA16" i="19"/>
  <c r="AC16" i="19" s="1"/>
  <c r="AA8" i="19"/>
  <c r="AC8" i="19" s="1"/>
  <c r="AA9" i="19"/>
  <c r="AC9" i="19" s="1"/>
  <c r="AA10" i="19"/>
  <c r="AC10" i="19" s="1"/>
  <c r="X55" i="18"/>
  <c r="V53" i="18"/>
  <c r="X53" i="18" s="1"/>
  <c r="V51" i="18"/>
  <c r="X51" i="18" s="1"/>
  <c r="V49" i="18"/>
  <c r="X49" i="18" s="1"/>
  <c r="V48" i="18"/>
  <c r="X48" i="18" s="1"/>
  <c r="V47" i="18"/>
  <c r="X47" i="18" s="1"/>
  <c r="V46" i="18"/>
  <c r="X46" i="18" s="1"/>
  <c r="V44" i="18"/>
  <c r="X44" i="18" s="1"/>
  <c r="V43" i="18"/>
  <c r="X43" i="18" s="1"/>
  <c r="V42" i="18"/>
  <c r="X42" i="18" s="1"/>
  <c r="V40" i="18"/>
  <c r="X40" i="18" s="1"/>
  <c r="V38" i="18"/>
  <c r="X38" i="18" s="1"/>
  <c r="V37" i="18"/>
  <c r="X37" i="18" s="1"/>
  <c r="V36" i="18"/>
  <c r="X36" i="18" s="1"/>
  <c r="V35" i="18"/>
  <c r="X35" i="18" s="1"/>
  <c r="V34" i="18"/>
  <c r="X34" i="18" s="1"/>
  <c r="V33" i="18"/>
  <c r="X33" i="18" s="1"/>
  <c r="V32" i="18"/>
  <c r="X32" i="18" s="1"/>
  <c r="V31" i="18"/>
  <c r="X31" i="18" s="1"/>
  <c r="V30" i="18"/>
  <c r="X30" i="18" s="1"/>
  <c r="V29" i="18"/>
  <c r="X29" i="18" s="1"/>
  <c r="V28" i="18"/>
  <c r="X28" i="18" s="1"/>
  <c r="V27" i="18"/>
  <c r="X27" i="18" s="1"/>
  <c r="V26" i="18"/>
  <c r="X26" i="18" s="1"/>
  <c r="V25" i="18"/>
  <c r="X25" i="18" s="1"/>
  <c r="V24" i="18"/>
  <c r="X24" i="18" s="1"/>
  <c r="V23" i="18"/>
  <c r="X23" i="18" s="1"/>
  <c r="V7" i="18"/>
  <c r="V8" i="18"/>
  <c r="V9" i="18"/>
  <c r="V10" i="18"/>
  <c r="V11" i="18"/>
  <c r="V12" i="18"/>
  <c r="V13" i="18"/>
  <c r="V14" i="18"/>
  <c r="V15" i="18"/>
  <c r="V16" i="18"/>
  <c r="V17" i="18"/>
  <c r="V18" i="18"/>
  <c r="V19" i="18"/>
  <c r="V20" i="18"/>
  <c r="V21" i="18"/>
  <c r="V6" i="18"/>
  <c r="A11" i="8" l="1"/>
  <c r="A10" i="8"/>
  <c r="A9" i="8"/>
  <c r="A8" i="8"/>
  <c r="A7" i="8"/>
  <c r="A6" i="8"/>
  <c r="A5" i="8"/>
  <c r="A4" i="8"/>
  <c r="AA12" i="19"/>
  <c r="AC12" i="19" s="1"/>
  <c r="AA7" i="19"/>
  <c r="AC7" i="19" s="1"/>
  <c r="X21" i="18"/>
  <c r="X20" i="18"/>
  <c r="X19" i="18"/>
  <c r="X18" i="18"/>
  <c r="X17" i="18"/>
  <c r="X16" i="18"/>
  <c r="X15" i="18"/>
  <c r="X14" i="18"/>
  <c r="X13" i="18"/>
  <c r="X12" i="18"/>
  <c r="X11" i="18"/>
  <c r="X10" i="18"/>
  <c r="X9" i="18"/>
  <c r="X8" i="18"/>
  <c r="X7" i="18"/>
  <c r="X6" i="18"/>
  <c r="AC5" i="19" l="1"/>
  <c r="AC4" i="19" s="1"/>
  <c r="B8" i="8" s="1"/>
  <c r="X4" i="18"/>
  <c r="X3" i="18" s="1"/>
  <c r="B11" i="8" s="1"/>
  <c r="U9" i="17" l="1"/>
  <c r="W9" i="17" s="1"/>
  <c r="U7" i="17"/>
  <c r="W7" i="17" s="1"/>
  <c r="U5" i="17"/>
  <c r="W5" i="17" s="1"/>
  <c r="W3" i="17" l="1"/>
  <c r="B10" i="8"/>
  <c r="G33" i="16" l="1"/>
  <c r="G34" i="16"/>
  <c r="G35" i="16"/>
  <c r="G36" i="16"/>
  <c r="G37" i="16"/>
  <c r="G38" i="16"/>
  <c r="G40" i="16"/>
  <c r="G41" i="16"/>
  <c r="G48" i="16"/>
  <c r="G47" i="16"/>
  <c r="G44" i="16"/>
  <c r="G31" i="16"/>
  <c r="G28" i="16"/>
  <c r="G20" i="16"/>
  <c r="G19" i="16"/>
  <c r="G18" i="16"/>
  <c r="G16" i="16"/>
  <c r="G15" i="16"/>
  <c r="G14" i="16"/>
  <c r="G13" i="16"/>
  <c r="G11" i="16"/>
  <c r="G10" i="16"/>
  <c r="G6" i="16"/>
  <c r="G5" i="16"/>
  <c r="G8" i="16" l="1"/>
  <c r="G43" i="16"/>
  <c r="G42" i="16" s="1"/>
  <c r="G26" i="16"/>
  <c r="G4" i="16"/>
  <c r="G29" i="16"/>
  <c r="G3" i="16" l="1"/>
  <c r="B4" i="8" s="1"/>
  <c r="V53" i="13"/>
  <c r="X53" i="13" s="1"/>
  <c r="V54" i="13"/>
  <c r="X54" i="13" s="1"/>
  <c r="V55" i="13"/>
  <c r="X55" i="13" s="1"/>
  <c r="V56" i="13"/>
  <c r="X56" i="13" s="1"/>
  <c r="V50" i="13"/>
  <c r="X50" i="13" s="1"/>
  <c r="V38" i="13"/>
  <c r="X38" i="13" s="1"/>
  <c r="V40" i="13"/>
  <c r="X40" i="13" s="1"/>
  <c r="V41" i="13"/>
  <c r="X41" i="13" s="1"/>
  <c r="V42" i="13"/>
  <c r="X42" i="13" s="1"/>
  <c r="V43" i="13"/>
  <c r="X43" i="13" s="1"/>
  <c r="V45" i="13"/>
  <c r="X45" i="13" s="1"/>
  <c r="V46" i="13"/>
  <c r="X46" i="13" s="1"/>
  <c r="V48" i="13"/>
  <c r="X48" i="13" s="1"/>
  <c r="V32" i="13"/>
  <c r="X32" i="13" s="1"/>
  <c r="V33" i="13"/>
  <c r="X33" i="13" s="1"/>
  <c r="V34" i="13"/>
  <c r="X34" i="13" s="1"/>
  <c r="V35" i="13"/>
  <c r="X35" i="13" s="1"/>
  <c r="V23" i="13"/>
  <c r="X23" i="13" s="1"/>
  <c r="V24" i="13"/>
  <c r="X24" i="13" s="1"/>
  <c r="V25" i="13"/>
  <c r="X25" i="13" s="1"/>
  <c r="V26" i="13"/>
  <c r="X26" i="13" s="1"/>
  <c r="V27" i="13"/>
  <c r="X27" i="13" s="1"/>
  <c r="V28" i="13"/>
  <c r="X28" i="13" s="1"/>
  <c r="V22" i="13"/>
  <c r="X22" i="13" s="1"/>
  <c r="V10" i="13"/>
  <c r="X10" i="13" s="1"/>
  <c r="V12" i="13"/>
  <c r="X12" i="13" s="1"/>
  <c r="V13" i="13"/>
  <c r="X13" i="13" s="1"/>
  <c r="V14" i="13"/>
  <c r="X14" i="13" s="1"/>
  <c r="V15" i="13"/>
  <c r="X15" i="13" s="1"/>
  <c r="V16" i="13"/>
  <c r="X16" i="13" s="1"/>
  <c r="V17" i="13"/>
  <c r="X17" i="13" s="1"/>
  <c r="V19" i="13"/>
  <c r="X19" i="13" s="1"/>
  <c r="V20" i="13"/>
  <c r="X20" i="13" s="1"/>
  <c r="E31" i="13"/>
  <c r="V31" i="13" s="1"/>
  <c r="X31" i="13" s="1"/>
  <c r="AA187" i="15"/>
  <c r="AC187" i="15" s="1"/>
  <c r="AA189" i="15"/>
  <c r="AC189" i="15" s="1"/>
  <c r="AA190" i="15"/>
  <c r="AC190" i="15" s="1"/>
  <c r="AA192" i="15"/>
  <c r="AC192" i="15" s="1"/>
  <c r="AA193" i="15"/>
  <c r="AC193" i="15" s="1"/>
  <c r="AA194" i="15"/>
  <c r="AC194" i="15" s="1"/>
  <c r="AA196" i="15"/>
  <c r="AC196" i="15" s="1"/>
  <c r="AA197" i="15"/>
  <c r="AC197" i="15" s="1"/>
  <c r="AA198" i="15"/>
  <c r="AC198" i="15" s="1"/>
  <c r="AA199" i="15"/>
  <c r="AC199" i="15" s="1"/>
  <c r="AA200" i="15"/>
  <c r="AC200" i="15" s="1"/>
  <c r="AA201" i="15"/>
  <c r="AC201" i="15" s="1"/>
  <c r="AA203" i="15"/>
  <c r="AC203" i="15" s="1"/>
  <c r="AA204" i="15"/>
  <c r="AC204" i="15" s="1"/>
  <c r="AA205" i="15"/>
  <c r="AC205" i="15" s="1"/>
  <c r="AA211" i="15"/>
  <c r="AC211" i="15" s="1"/>
  <c r="AA212" i="15"/>
  <c r="AC212" i="15" s="1"/>
  <c r="AA213" i="15"/>
  <c r="AC213" i="15" s="1"/>
  <c r="AA186" i="15"/>
  <c r="AC186" i="15" s="1"/>
  <c r="AA118" i="15"/>
  <c r="AC118" i="15" s="1"/>
  <c r="AA123" i="15"/>
  <c r="AC123" i="15" s="1"/>
  <c r="AA125" i="15"/>
  <c r="AC125" i="15" s="1"/>
  <c r="AA127" i="15"/>
  <c r="AC127" i="15" s="1"/>
  <c r="AA128" i="15"/>
  <c r="AC128" i="15" s="1"/>
  <c r="AA129" i="15"/>
  <c r="AC129" i="15" s="1"/>
  <c r="AA130" i="15"/>
  <c r="AC130" i="15" s="1"/>
  <c r="AA132" i="15"/>
  <c r="AC132" i="15" s="1"/>
  <c r="AA104" i="15"/>
  <c r="AC104" i="15" s="1"/>
  <c r="AA106" i="15"/>
  <c r="AC106" i="15" s="1"/>
  <c r="AA107" i="15"/>
  <c r="AC107" i="15" s="1"/>
  <c r="AA108" i="15"/>
  <c r="AC108" i="15" s="1"/>
  <c r="AA109" i="15"/>
  <c r="AC109" i="15" s="1"/>
  <c r="AA111" i="15"/>
  <c r="AC111" i="15" s="1"/>
  <c r="AA80" i="15"/>
  <c r="AC80" i="15" s="1"/>
  <c r="AA82" i="15"/>
  <c r="AC82" i="15" s="1"/>
  <c r="AA84" i="15"/>
  <c r="AC84" i="15" s="1"/>
  <c r="AA85" i="15"/>
  <c r="AC85" i="15" s="1"/>
  <c r="AA87" i="15"/>
  <c r="AC87" i="15" s="1"/>
  <c r="AA89" i="15"/>
  <c r="AC89" i="15" s="1"/>
  <c r="AA90" i="15"/>
  <c r="AC90" i="15" s="1"/>
  <c r="AA92" i="15"/>
  <c r="AC92" i="15" s="1"/>
  <c r="AA93" i="15"/>
  <c r="AC93" i="15" s="1"/>
  <c r="AA94" i="15"/>
  <c r="AC94" i="15" s="1"/>
  <c r="AA96" i="15"/>
  <c r="AC96" i="15" s="1"/>
  <c r="AA97" i="15"/>
  <c r="AC97" i="15" s="1"/>
  <c r="AA100" i="15"/>
  <c r="AC100" i="15" s="1"/>
  <c r="AA101" i="15"/>
  <c r="AC101" i="15" s="1"/>
  <c r="AA63" i="15"/>
  <c r="AC63" i="15" s="1"/>
  <c r="AA64" i="15"/>
  <c r="AC64" i="15" s="1"/>
  <c r="AA65" i="15"/>
  <c r="AC65" i="15" s="1"/>
  <c r="AA70" i="15"/>
  <c r="AC70" i="15" s="1"/>
  <c r="AA74" i="15"/>
  <c r="AC74" i="15" s="1"/>
  <c r="AA75" i="15"/>
  <c r="AC75" i="15" s="1"/>
  <c r="AA77" i="15"/>
  <c r="AC77" i="15" s="1"/>
  <c r="AA51" i="15"/>
  <c r="AC51" i="15" s="1"/>
  <c r="AA52" i="15"/>
  <c r="AC52" i="15" s="1"/>
  <c r="AA53" i="15"/>
  <c r="AC53" i="15" s="1"/>
  <c r="AA54" i="15"/>
  <c r="AC54" i="15" s="1"/>
  <c r="AA55" i="15"/>
  <c r="AC55" i="15" s="1"/>
  <c r="AA56" i="15"/>
  <c r="AC56" i="15" s="1"/>
  <c r="AA57" i="15"/>
  <c r="AC57" i="15" s="1"/>
  <c r="AA58" i="15"/>
  <c r="AC58" i="15" s="1"/>
  <c r="AA60" i="15"/>
  <c r="AC60" i="15" s="1"/>
  <c r="AA11" i="15"/>
  <c r="AC11" i="15" s="1"/>
  <c r="AA12" i="15"/>
  <c r="AC12" i="15" s="1"/>
  <c r="AA14" i="15"/>
  <c r="AC14" i="15" s="1"/>
  <c r="AA15" i="15"/>
  <c r="AC15" i="15" s="1"/>
  <c r="AA16" i="15"/>
  <c r="AC16" i="15" s="1"/>
  <c r="AA17" i="15"/>
  <c r="AC17" i="15" s="1"/>
  <c r="AA18" i="15"/>
  <c r="AC18" i="15" s="1"/>
  <c r="AA19" i="15"/>
  <c r="AC19" i="15" s="1"/>
  <c r="AA20" i="15"/>
  <c r="AC20" i="15" s="1"/>
  <c r="AA21" i="15"/>
  <c r="AC21" i="15" s="1"/>
  <c r="AA22" i="15"/>
  <c r="AC22" i="15" s="1"/>
  <c r="AA23" i="15"/>
  <c r="AC23" i="15" s="1"/>
  <c r="AA25" i="15"/>
  <c r="AC25" i="15" s="1"/>
  <c r="AA27" i="15"/>
  <c r="AC27" i="15" s="1"/>
  <c r="AA28" i="15"/>
  <c r="AC28" i="15" s="1"/>
  <c r="AA29" i="15"/>
  <c r="AC29" i="15" s="1"/>
  <c r="AA31" i="15"/>
  <c r="AC31" i="15" s="1"/>
  <c r="AA32" i="15"/>
  <c r="AC32" i="15" s="1"/>
  <c r="AA33" i="15"/>
  <c r="AC33" i="15" s="1"/>
  <c r="AA35" i="15"/>
  <c r="AC35" i="15" s="1"/>
  <c r="AA36" i="15"/>
  <c r="AC36" i="15" s="1"/>
  <c r="AA37" i="15"/>
  <c r="AC37" i="15" s="1"/>
  <c r="AA39" i="15"/>
  <c r="AC39" i="15" s="1"/>
  <c r="AA40" i="15"/>
  <c r="AC40" i="15" s="1"/>
  <c r="AA41" i="15"/>
  <c r="AC41" i="15" s="1"/>
  <c r="AA42" i="15"/>
  <c r="AC42" i="15" s="1"/>
  <c r="AA43" i="15"/>
  <c r="AC43" i="15" s="1"/>
  <c r="AA44" i="15"/>
  <c r="AC44" i="15" s="1"/>
  <c r="AA46" i="15"/>
  <c r="AC46" i="15" s="1"/>
  <c r="AA47" i="15"/>
  <c r="AC47" i="15" s="1"/>
  <c r="AA48" i="15"/>
  <c r="AC48" i="15" s="1"/>
  <c r="Z73" i="15"/>
  <c r="Z72" i="15"/>
  <c r="Z98" i="15"/>
  <c r="Z102" i="15"/>
  <c r="Z69" i="15"/>
  <c r="Y124" i="15"/>
  <c r="AA124" i="15" s="1"/>
  <c r="AC124" i="15" s="1"/>
  <c r="Y119" i="15"/>
  <c r="Y73" i="15"/>
  <c r="Y72" i="15"/>
  <c r="Y98" i="15"/>
  <c r="Y102" i="15"/>
  <c r="Y69" i="15"/>
  <c r="X73" i="15"/>
  <c r="X72" i="15"/>
  <c r="X98" i="15"/>
  <c r="X102" i="15"/>
  <c r="X69" i="15"/>
  <c r="W73" i="15"/>
  <c r="W72" i="15"/>
  <c r="W98" i="15"/>
  <c r="W102" i="15"/>
  <c r="W69" i="15"/>
  <c r="V119" i="15"/>
  <c r="V73" i="15"/>
  <c r="V72" i="15"/>
  <c r="V98" i="15"/>
  <c r="V102" i="15"/>
  <c r="V67" i="15"/>
  <c r="V69" i="15"/>
  <c r="U73" i="15"/>
  <c r="U72" i="15"/>
  <c r="U98" i="15"/>
  <c r="U102" i="15"/>
  <c r="U69" i="15"/>
  <c r="T73" i="15"/>
  <c r="T72" i="15"/>
  <c r="T69" i="15"/>
  <c r="S116" i="15"/>
  <c r="S115" i="15"/>
  <c r="S114" i="15"/>
  <c r="S73" i="15"/>
  <c r="S72" i="15"/>
  <c r="S98" i="15"/>
  <c r="S102" i="15"/>
  <c r="S69" i="15"/>
  <c r="R69" i="15"/>
  <c r="Q98" i="15"/>
  <c r="Q102" i="15"/>
  <c r="P98" i="15"/>
  <c r="P102" i="15"/>
  <c r="P69" i="15"/>
  <c r="O73" i="15"/>
  <c r="O72" i="15"/>
  <c r="O69" i="15"/>
  <c r="N69" i="15"/>
  <c r="M73" i="15"/>
  <c r="M72" i="15"/>
  <c r="M69" i="15"/>
  <c r="K73" i="15"/>
  <c r="K72" i="15"/>
  <c r="K69" i="15"/>
  <c r="J73" i="15"/>
  <c r="J72" i="15"/>
  <c r="J98" i="15"/>
  <c r="J102" i="15"/>
  <c r="J69" i="15"/>
  <c r="I120" i="15"/>
  <c r="AA120" i="15" s="1"/>
  <c r="AC120" i="15" s="1"/>
  <c r="I116" i="15"/>
  <c r="I115" i="15"/>
  <c r="I114" i="15"/>
  <c r="I73" i="15"/>
  <c r="I72" i="15"/>
  <c r="I98" i="15"/>
  <c r="I102" i="15"/>
  <c r="I69" i="15"/>
  <c r="H121" i="15"/>
  <c r="AA121" i="15" s="1"/>
  <c r="AC121" i="15" s="1"/>
  <c r="H73" i="15"/>
  <c r="H72" i="15"/>
  <c r="H98" i="15"/>
  <c r="H102" i="15"/>
  <c r="H69" i="15"/>
  <c r="G73" i="15"/>
  <c r="G72" i="15"/>
  <c r="G98" i="15"/>
  <c r="G102" i="15"/>
  <c r="G69" i="15"/>
  <c r="F69" i="15"/>
  <c r="E98" i="15"/>
  <c r="E102" i="15"/>
  <c r="E66" i="15"/>
  <c r="AA66" i="15" s="1"/>
  <c r="AC66" i="15" s="1"/>
  <c r="E69" i="15"/>
  <c r="X29" i="13" l="1"/>
  <c r="X36" i="13"/>
  <c r="AA116" i="15"/>
  <c r="AC116" i="15" s="1"/>
  <c r="AA114" i="15"/>
  <c r="AC114" i="15" s="1"/>
  <c r="AA98" i="15"/>
  <c r="AC98" i="15" s="1"/>
  <c r="AA102" i="15"/>
  <c r="AC102" i="15" s="1"/>
  <c r="AA73" i="15"/>
  <c r="AC73" i="15" s="1"/>
  <c r="AA72" i="15"/>
  <c r="AC72" i="15" s="1"/>
  <c r="AA119" i="15"/>
  <c r="AC119" i="15" s="1"/>
  <c r="AA67" i="15"/>
  <c r="AC67" i="15" s="1"/>
  <c r="AA69" i="15"/>
  <c r="AC69" i="15" s="1"/>
  <c r="AA59" i="15"/>
  <c r="AC59" i="15" s="1"/>
  <c r="AA115" i="15"/>
  <c r="AC115" i="15" s="1"/>
  <c r="AC5" i="15"/>
  <c r="AC185" i="15"/>
  <c r="AC9" i="15"/>
  <c r="X21" i="13"/>
  <c r="X51" i="13"/>
  <c r="X4" i="13"/>
  <c r="X49" i="13"/>
  <c r="AC78" i="15" l="1"/>
  <c r="AC113" i="15"/>
  <c r="AC49" i="15"/>
  <c r="AC61" i="15"/>
  <c r="X3" i="13"/>
  <c r="B9" i="8" s="1"/>
  <c r="G16" i="10"/>
  <c r="G7" i="10"/>
  <c r="F204" i="2"/>
  <c r="F203" i="2"/>
  <c r="AC4" i="15" l="1"/>
  <c r="B7" i="8" s="1"/>
  <c r="E16" i="10"/>
  <c r="I16" i="10" s="1"/>
  <c r="K16" i="10" s="1"/>
  <c r="E7" i="10"/>
  <c r="I7" i="10" s="1"/>
  <c r="K7" i="10" s="1"/>
  <c r="N232" i="2"/>
  <c r="P232" i="2" s="1"/>
  <c r="N233" i="2"/>
  <c r="P233" i="2" s="1"/>
  <c r="N234" i="2"/>
  <c r="P234" i="2" s="1"/>
  <c r="N236" i="2"/>
  <c r="P236" i="2" s="1"/>
  <c r="N237" i="2"/>
  <c r="P237" i="2" s="1"/>
  <c r="N238" i="2"/>
  <c r="P238" i="2" s="1"/>
  <c r="N239" i="2"/>
  <c r="P239" i="2" s="1"/>
  <c r="N240" i="2"/>
  <c r="P240" i="2" s="1"/>
  <c r="N242" i="2"/>
  <c r="P242" i="2" s="1"/>
  <c r="N243" i="2"/>
  <c r="P243" i="2" s="1"/>
  <c r="N244" i="2"/>
  <c r="P244" i="2" s="1"/>
  <c r="N245" i="2"/>
  <c r="P245" i="2" s="1"/>
  <c r="N219" i="2"/>
  <c r="P219" i="2" s="1"/>
  <c r="N222" i="2"/>
  <c r="P222" i="2" s="1"/>
  <c r="N223" i="2"/>
  <c r="P223" i="2" s="1"/>
  <c r="N225" i="2"/>
  <c r="P225" i="2" s="1"/>
  <c r="N226" i="2"/>
  <c r="P226" i="2" s="1"/>
  <c r="N227" i="2"/>
  <c r="P227" i="2" s="1"/>
  <c r="N228" i="2"/>
  <c r="P228" i="2" s="1"/>
  <c r="N247" i="2"/>
  <c r="P247" i="2" s="1"/>
  <c r="N253" i="2"/>
  <c r="P253" i="2" s="1"/>
  <c r="N254" i="2"/>
  <c r="P254" i="2" s="1"/>
  <c r="N255" i="2"/>
  <c r="P255" i="2" s="1"/>
  <c r="N147" i="2"/>
  <c r="P147" i="2" s="1"/>
  <c r="N154" i="2"/>
  <c r="P154" i="2" s="1"/>
  <c r="N158" i="2"/>
  <c r="P158" i="2" s="1"/>
  <c r="N178" i="2"/>
  <c r="P178" i="2" s="1"/>
  <c r="N161" i="2"/>
  <c r="P161" i="2" s="1"/>
  <c r="N162" i="2"/>
  <c r="P162" i="2" s="1"/>
  <c r="N163" i="2"/>
  <c r="P163" i="2" s="1"/>
  <c r="N169" i="2"/>
  <c r="P169" i="2" s="1"/>
  <c r="N170" i="2"/>
  <c r="P170" i="2" s="1"/>
  <c r="N171" i="2"/>
  <c r="P171" i="2" s="1"/>
  <c r="N172" i="2"/>
  <c r="P172" i="2" s="1"/>
  <c r="N173" i="2"/>
  <c r="P173" i="2" s="1"/>
  <c r="N174" i="2"/>
  <c r="P174" i="2" s="1"/>
  <c r="N175" i="2"/>
  <c r="P175" i="2" s="1"/>
  <c r="N176" i="2"/>
  <c r="P176" i="2" s="1"/>
  <c r="N177" i="2"/>
  <c r="P177" i="2" s="1"/>
  <c r="N179" i="2"/>
  <c r="P179" i="2" s="1"/>
  <c r="N180" i="2"/>
  <c r="P180" i="2" s="1"/>
  <c r="N181" i="2"/>
  <c r="P181" i="2" s="1"/>
  <c r="N182" i="2"/>
  <c r="P182" i="2" s="1"/>
  <c r="N183" i="2"/>
  <c r="P183" i="2" s="1"/>
  <c r="N184" i="2"/>
  <c r="P184" i="2" s="1"/>
  <c r="N185" i="2"/>
  <c r="P185" i="2" s="1"/>
  <c r="N186" i="2"/>
  <c r="P186" i="2" s="1"/>
  <c r="N187" i="2"/>
  <c r="P187" i="2" s="1"/>
  <c r="N188" i="2"/>
  <c r="P188" i="2" s="1"/>
  <c r="N189" i="2"/>
  <c r="P189" i="2" s="1"/>
  <c r="N190" i="2"/>
  <c r="P190" i="2" s="1"/>
  <c r="N191" i="2"/>
  <c r="P191" i="2" s="1"/>
  <c r="N192" i="2"/>
  <c r="P192" i="2" s="1"/>
  <c r="N193" i="2"/>
  <c r="P193" i="2" s="1"/>
  <c r="N194" i="2"/>
  <c r="P194" i="2" s="1"/>
  <c r="N195" i="2"/>
  <c r="P195" i="2" s="1"/>
  <c r="N196" i="2"/>
  <c r="P196" i="2" s="1"/>
  <c r="N197" i="2"/>
  <c r="P197" i="2" s="1"/>
  <c r="N198" i="2"/>
  <c r="P198" i="2" s="1"/>
  <c r="N199" i="2"/>
  <c r="P199" i="2" s="1"/>
  <c r="N200" i="2"/>
  <c r="P200" i="2" s="1"/>
  <c r="N201" i="2"/>
  <c r="P201" i="2" s="1"/>
  <c r="N202" i="2"/>
  <c r="P202" i="2" s="1"/>
  <c r="N203" i="2"/>
  <c r="P203" i="2" s="1"/>
  <c r="N204" i="2"/>
  <c r="P204" i="2" s="1"/>
  <c r="N205" i="2"/>
  <c r="P205" i="2" s="1"/>
  <c r="N209" i="2"/>
  <c r="P209" i="2" s="1"/>
  <c r="N210" i="2"/>
  <c r="P210" i="2" s="1"/>
  <c r="N214" i="2"/>
  <c r="P214" i="2" s="1"/>
  <c r="N215" i="2"/>
  <c r="P215" i="2" s="1"/>
  <c r="N134" i="2"/>
  <c r="P134" i="2" s="1"/>
  <c r="N135" i="2"/>
  <c r="P135" i="2" s="1"/>
  <c r="N138" i="2"/>
  <c r="P138" i="2" s="1"/>
  <c r="N139" i="2"/>
  <c r="P139" i="2" s="1"/>
  <c r="N140" i="2"/>
  <c r="P140" i="2" s="1"/>
  <c r="N142" i="2"/>
  <c r="P142" i="2" s="1"/>
  <c r="N143" i="2"/>
  <c r="P143" i="2" s="1"/>
  <c r="N144" i="2"/>
  <c r="P144" i="2" s="1"/>
  <c r="N101" i="2"/>
  <c r="P101" i="2" s="1"/>
  <c r="N102" i="2"/>
  <c r="P102" i="2" s="1"/>
  <c r="N103" i="2"/>
  <c r="P103" i="2" s="1"/>
  <c r="N106" i="2"/>
  <c r="P106" i="2" s="1"/>
  <c r="N109" i="2"/>
  <c r="P109" i="2" s="1"/>
  <c r="N110" i="2"/>
  <c r="P110" i="2" s="1"/>
  <c r="N111" i="2"/>
  <c r="P111" i="2" s="1"/>
  <c r="N112" i="2"/>
  <c r="P112" i="2" s="1"/>
  <c r="N99" i="2"/>
  <c r="P99" i="2" s="1"/>
  <c r="N82" i="2"/>
  <c r="P82" i="2" s="1"/>
  <c r="N83" i="2"/>
  <c r="P83" i="2" s="1"/>
  <c r="N86" i="2"/>
  <c r="P86" i="2" s="1"/>
  <c r="N87" i="2"/>
  <c r="P87" i="2" s="1"/>
  <c r="N90" i="2"/>
  <c r="P90" i="2" s="1"/>
  <c r="N92" i="2"/>
  <c r="P92" i="2" s="1"/>
  <c r="N94" i="2"/>
  <c r="P94" i="2" s="1"/>
  <c r="N95" i="2"/>
  <c r="P95" i="2" s="1"/>
  <c r="N79" i="2"/>
  <c r="P79" i="2" s="1"/>
  <c r="N56" i="2"/>
  <c r="P56" i="2" s="1"/>
  <c r="N57" i="2"/>
  <c r="P57" i="2" s="1"/>
  <c r="N58" i="2"/>
  <c r="P58" i="2" s="1"/>
  <c r="N59" i="2"/>
  <c r="P59" i="2" s="1"/>
  <c r="N60" i="2"/>
  <c r="P60" i="2" s="1"/>
  <c r="N61" i="2"/>
  <c r="P61" i="2" s="1"/>
  <c r="N62" i="2"/>
  <c r="P62" i="2" s="1"/>
  <c r="N63" i="2"/>
  <c r="P63" i="2" s="1"/>
  <c r="N64" i="2"/>
  <c r="P64" i="2" s="1"/>
  <c r="N65" i="2"/>
  <c r="P65" i="2" s="1"/>
  <c r="N67" i="2"/>
  <c r="P67" i="2" s="1"/>
  <c r="N68" i="2"/>
  <c r="P68" i="2" s="1"/>
  <c r="N70" i="2"/>
  <c r="P70" i="2" s="1"/>
  <c r="N71" i="2"/>
  <c r="P71" i="2" s="1"/>
  <c r="N72" i="2"/>
  <c r="P72" i="2" s="1"/>
  <c r="N73" i="2"/>
  <c r="P73" i="2" s="1"/>
  <c r="N75" i="2"/>
  <c r="P75" i="2" s="1"/>
  <c r="N76" i="2"/>
  <c r="P76" i="2" s="1"/>
  <c r="N77" i="2"/>
  <c r="P77" i="2" s="1"/>
  <c r="N43" i="2"/>
  <c r="P43" i="2" s="1"/>
  <c r="N45" i="2"/>
  <c r="P45" i="2" s="1"/>
  <c r="N46" i="2"/>
  <c r="P46" i="2" s="1"/>
  <c r="N47" i="2"/>
  <c r="P47" i="2" s="1"/>
  <c r="N48" i="2"/>
  <c r="P48" i="2" s="1"/>
  <c r="N49" i="2"/>
  <c r="P49" i="2" s="1"/>
  <c r="N50" i="2"/>
  <c r="P50" i="2" s="1"/>
  <c r="N51" i="2"/>
  <c r="P51" i="2" s="1"/>
  <c r="N52" i="2"/>
  <c r="P52" i="2" s="1"/>
  <c r="N53" i="2"/>
  <c r="P53" i="2" s="1"/>
  <c r="N54" i="2"/>
  <c r="P54" i="2" s="1"/>
  <c r="N14" i="2"/>
  <c r="P14" i="2" s="1"/>
  <c r="N17" i="2"/>
  <c r="P17" i="2" s="1"/>
  <c r="N18" i="2"/>
  <c r="P18" i="2" s="1"/>
  <c r="N19" i="2"/>
  <c r="P19" i="2" s="1"/>
  <c r="N21" i="2"/>
  <c r="P21" i="2" s="1"/>
  <c r="N22" i="2"/>
  <c r="P22" i="2" s="1"/>
  <c r="N23" i="2"/>
  <c r="P23" i="2" s="1"/>
  <c r="N24" i="2"/>
  <c r="P24" i="2" s="1"/>
  <c r="P25" i="2"/>
  <c r="N26" i="2"/>
  <c r="P26" i="2" s="1"/>
  <c r="N27" i="2"/>
  <c r="P27" i="2" s="1"/>
  <c r="N30" i="2"/>
  <c r="P30" i="2" s="1"/>
  <c r="N32" i="2"/>
  <c r="P32" i="2" s="1"/>
  <c r="N33" i="2"/>
  <c r="P33" i="2" s="1"/>
  <c r="N34" i="2"/>
  <c r="P34" i="2" s="1"/>
  <c r="N37" i="2"/>
  <c r="P37" i="2" s="1"/>
  <c r="N40" i="2"/>
  <c r="P40" i="2" s="1"/>
  <c r="N41" i="2"/>
  <c r="P41" i="2" s="1"/>
  <c r="N42" i="2"/>
  <c r="P42" i="2" s="1"/>
  <c r="N11" i="2"/>
  <c r="P11" i="2" s="1"/>
  <c r="N12" i="2"/>
  <c r="P12" i="2" s="1"/>
  <c r="I58" i="10"/>
  <c r="K58" i="10" s="1"/>
  <c r="I59" i="10"/>
  <c r="K59" i="10" s="1"/>
  <c r="I61" i="10"/>
  <c r="K61" i="10" s="1"/>
  <c r="I62" i="10"/>
  <c r="K62" i="10" s="1"/>
  <c r="I63" i="10"/>
  <c r="K63" i="10" s="1"/>
  <c r="I64" i="10"/>
  <c r="K64" i="10" s="1"/>
  <c r="I65" i="10"/>
  <c r="K65" i="10" s="1"/>
  <c r="I66" i="10"/>
  <c r="K66" i="10" s="1"/>
  <c r="I67" i="10"/>
  <c r="K67" i="10" s="1"/>
  <c r="I35" i="10"/>
  <c r="K35" i="10" s="1"/>
  <c r="I38" i="10"/>
  <c r="K38" i="10" s="1"/>
  <c r="I36" i="10"/>
  <c r="K36" i="10" s="1"/>
  <c r="I39" i="10"/>
  <c r="K39" i="10" s="1"/>
  <c r="I47" i="10"/>
  <c r="K47" i="10" s="1"/>
  <c r="I48" i="10"/>
  <c r="K48" i="10" s="1"/>
  <c r="I49" i="10"/>
  <c r="K49" i="10" s="1"/>
  <c r="I50" i="10"/>
  <c r="K50" i="10" s="1"/>
  <c r="I51" i="10"/>
  <c r="K51" i="10" s="1"/>
  <c r="I53" i="10"/>
  <c r="K53" i="10" s="1"/>
  <c r="I54" i="10"/>
  <c r="K54" i="10" s="1"/>
  <c r="I45" i="10"/>
  <c r="K45" i="10" s="1"/>
  <c r="I41" i="10"/>
  <c r="K41" i="10" s="1"/>
  <c r="I42" i="10"/>
  <c r="K42" i="10" s="1"/>
  <c r="I43" i="10"/>
  <c r="K43" i="10" s="1"/>
  <c r="I44" i="10"/>
  <c r="K44" i="10" s="1"/>
  <c r="I55" i="10"/>
  <c r="K55" i="10" s="1"/>
  <c r="I32" i="10"/>
  <c r="K32" i="10" s="1"/>
  <c r="I27" i="10"/>
  <c r="K27" i="10" s="1"/>
  <c r="I28" i="10"/>
  <c r="K28" i="10" s="1"/>
  <c r="I29" i="10"/>
  <c r="K29" i="10" s="1"/>
  <c r="I30" i="10"/>
  <c r="K30" i="10" s="1"/>
  <c r="I31" i="10"/>
  <c r="K31" i="10" s="1"/>
  <c r="I25" i="10"/>
  <c r="K25" i="10" s="1"/>
  <c r="I11" i="10"/>
  <c r="K11" i="10" s="1"/>
  <c r="I12" i="10"/>
  <c r="K12" i="10" s="1"/>
  <c r="I13" i="10"/>
  <c r="K13" i="10" s="1"/>
  <c r="I8" i="10"/>
  <c r="K8" i="10" s="1"/>
  <c r="I14" i="10"/>
  <c r="K14" i="10" s="1"/>
  <c r="I15" i="10"/>
  <c r="K15" i="10" s="1"/>
  <c r="I9" i="10"/>
  <c r="K9" i="10" s="1"/>
  <c r="I17" i="10"/>
  <c r="K17" i="10" s="1"/>
  <c r="I18" i="10"/>
  <c r="K18" i="10" s="1"/>
  <c r="I19" i="10"/>
  <c r="K19" i="10" s="1"/>
  <c r="I20" i="10"/>
  <c r="K20" i="10" s="1"/>
  <c r="I22" i="10"/>
  <c r="K22" i="10" s="1"/>
  <c r="I23" i="10"/>
  <c r="K23" i="10" s="1"/>
  <c r="K360" i="11"/>
  <c r="M360" i="11" s="1"/>
  <c r="K361" i="11"/>
  <c r="M361" i="11" s="1"/>
  <c r="K363" i="11"/>
  <c r="M363" i="11" s="1"/>
  <c r="K364" i="11"/>
  <c r="M364" i="11" s="1"/>
  <c r="K366" i="11"/>
  <c r="M366" i="11" s="1"/>
  <c r="K367" i="11"/>
  <c r="M367" i="11" s="1"/>
  <c r="K368" i="11"/>
  <c r="M368" i="11" s="1"/>
  <c r="K369" i="11"/>
  <c r="M369" i="11" s="1"/>
  <c r="K371" i="11"/>
  <c r="M371" i="11" s="1"/>
  <c r="K372" i="11"/>
  <c r="M372" i="11" s="1"/>
  <c r="K373" i="11"/>
  <c r="M373" i="11" s="1"/>
  <c r="K375" i="11"/>
  <c r="M375" i="11" s="1"/>
  <c r="K376" i="11"/>
  <c r="M376" i="11" s="1"/>
  <c r="K377" i="11"/>
  <c r="M377" i="11" s="1"/>
  <c r="K378" i="11"/>
  <c r="M378" i="11" s="1"/>
  <c r="K379" i="11"/>
  <c r="M379" i="11" s="1"/>
  <c r="K382" i="11"/>
  <c r="M382" i="11" s="1"/>
  <c r="K383" i="11"/>
  <c r="M383" i="11" s="1"/>
  <c r="K384" i="11"/>
  <c r="M384" i="11" s="1"/>
  <c r="K385" i="11"/>
  <c r="M385" i="11" s="1"/>
  <c r="K386" i="11"/>
  <c r="M386" i="11" s="1"/>
  <c r="K388" i="11"/>
  <c r="M388" i="11" s="1"/>
  <c r="K389" i="11"/>
  <c r="M389" i="11" s="1"/>
  <c r="K390" i="11"/>
  <c r="M390" i="11" s="1"/>
  <c r="K391" i="11"/>
  <c r="M391" i="11" s="1"/>
  <c r="K358" i="11"/>
  <c r="M358" i="11" s="1"/>
  <c r="K352" i="11"/>
  <c r="M352" i="11" s="1"/>
  <c r="K353" i="11"/>
  <c r="M353" i="11" s="1"/>
  <c r="K355" i="11"/>
  <c r="M355" i="11" s="1"/>
  <c r="K356" i="11"/>
  <c r="M356" i="11" s="1"/>
  <c r="K351" i="11"/>
  <c r="M351" i="11" s="1"/>
  <c r="K345" i="11"/>
  <c r="M345" i="11" s="1"/>
  <c r="K346" i="11"/>
  <c r="M346" i="11" s="1"/>
  <c r="K347" i="11"/>
  <c r="M347" i="11" s="1"/>
  <c r="K348" i="11"/>
  <c r="M348" i="11" s="1"/>
  <c r="K349" i="11"/>
  <c r="M349" i="11" s="1"/>
  <c r="K344" i="11"/>
  <c r="M344" i="11" s="1"/>
  <c r="K338" i="11"/>
  <c r="M338" i="11" s="1"/>
  <c r="K339" i="11"/>
  <c r="M339" i="11" s="1"/>
  <c r="K341" i="11"/>
  <c r="M341" i="11" s="1"/>
  <c r="K342" i="11"/>
  <c r="M342" i="11" s="1"/>
  <c r="K325" i="11"/>
  <c r="M325" i="11" s="1"/>
  <c r="K326" i="11"/>
  <c r="M326" i="11" s="1"/>
  <c r="K328" i="11"/>
  <c r="M328" i="11" s="1"/>
  <c r="K329" i="11"/>
  <c r="M329" i="11" s="1"/>
  <c r="K330" i="11"/>
  <c r="M330" i="11" s="1"/>
  <c r="K332" i="11"/>
  <c r="M332" i="11" s="1"/>
  <c r="K302" i="11"/>
  <c r="M302" i="11" s="1"/>
  <c r="K307" i="11"/>
  <c r="M307" i="11" s="1"/>
  <c r="K308" i="11"/>
  <c r="M308" i="11" s="1"/>
  <c r="K309" i="11"/>
  <c r="M309" i="11" s="1"/>
  <c r="K310" i="11"/>
  <c r="M310" i="11" s="1"/>
  <c r="K312" i="11"/>
  <c r="M312" i="11" s="1"/>
  <c r="K313" i="11"/>
  <c r="M313" i="11" s="1"/>
  <c r="K314" i="11"/>
  <c r="M314" i="11" s="1"/>
  <c r="K315" i="11"/>
  <c r="M315" i="11" s="1"/>
  <c r="K142" i="11"/>
  <c r="M142" i="11" s="1"/>
  <c r="K143" i="11"/>
  <c r="M143" i="11" s="1"/>
  <c r="K144" i="11"/>
  <c r="M144" i="11" s="1"/>
  <c r="K145" i="11"/>
  <c r="M145" i="11" s="1"/>
  <c r="K146" i="11"/>
  <c r="M146" i="11" s="1"/>
  <c r="K147" i="11"/>
  <c r="M147" i="11" s="1"/>
  <c r="K148" i="11"/>
  <c r="M148" i="11" s="1"/>
  <c r="K149" i="11"/>
  <c r="M149" i="11" s="1"/>
  <c r="K150" i="11"/>
  <c r="M150" i="11" s="1"/>
  <c r="K151" i="11"/>
  <c r="M151" i="11" s="1"/>
  <c r="K152" i="11"/>
  <c r="M152" i="11" s="1"/>
  <c r="K153" i="11"/>
  <c r="M153" i="11" s="1"/>
  <c r="K158" i="11"/>
  <c r="M158" i="11" s="1"/>
  <c r="K160" i="11"/>
  <c r="M160" i="11" s="1"/>
  <c r="K161" i="11"/>
  <c r="M161" i="11" s="1"/>
  <c r="K162" i="11"/>
  <c r="M162" i="11" s="1"/>
  <c r="K163" i="11"/>
  <c r="M163" i="11" s="1"/>
  <c r="K164" i="11"/>
  <c r="M164" i="11" s="1"/>
  <c r="K165" i="11"/>
  <c r="M165" i="11" s="1"/>
  <c r="K167" i="11"/>
  <c r="M167" i="11" s="1"/>
  <c r="K168" i="11"/>
  <c r="M168" i="11" s="1"/>
  <c r="K169" i="11"/>
  <c r="M169" i="11" s="1"/>
  <c r="K170" i="11"/>
  <c r="M170" i="11" s="1"/>
  <c r="K171" i="11"/>
  <c r="M171" i="11" s="1"/>
  <c r="K172" i="11"/>
  <c r="M172" i="11" s="1"/>
  <c r="K173" i="11"/>
  <c r="M173" i="11" s="1"/>
  <c r="K174" i="11"/>
  <c r="M174" i="11" s="1"/>
  <c r="K175" i="11"/>
  <c r="M175" i="11" s="1"/>
  <c r="K176" i="11"/>
  <c r="M176" i="11" s="1"/>
  <c r="K177" i="11"/>
  <c r="M177" i="11" s="1"/>
  <c r="K178" i="11"/>
  <c r="M178" i="11" s="1"/>
  <c r="K179" i="11"/>
  <c r="M179" i="11" s="1"/>
  <c r="K180" i="11"/>
  <c r="M180" i="11" s="1"/>
  <c r="K181" i="11"/>
  <c r="M181" i="11" s="1"/>
  <c r="K182" i="11"/>
  <c r="M182" i="11" s="1"/>
  <c r="K184" i="11"/>
  <c r="M184" i="11" s="1"/>
  <c r="K185" i="11"/>
  <c r="M185" i="11" s="1"/>
  <c r="K186" i="11"/>
  <c r="M186" i="11" s="1"/>
  <c r="K187" i="11"/>
  <c r="M187" i="11" s="1"/>
  <c r="K188" i="11"/>
  <c r="M188" i="11" s="1"/>
  <c r="K189" i="11"/>
  <c r="M189" i="11" s="1"/>
  <c r="K190" i="11"/>
  <c r="M190" i="11" s="1"/>
  <c r="K191" i="11"/>
  <c r="M191" i="11" s="1"/>
  <c r="K193" i="11"/>
  <c r="M193" i="11" s="1"/>
  <c r="K194" i="11"/>
  <c r="M194" i="11" s="1"/>
  <c r="K195" i="11"/>
  <c r="M195" i="11" s="1"/>
  <c r="K196" i="11"/>
  <c r="M196" i="11" s="1"/>
  <c r="K198" i="11"/>
  <c r="M198" i="11" s="1"/>
  <c r="K199" i="11"/>
  <c r="M199" i="11" s="1"/>
  <c r="K200" i="11"/>
  <c r="M200" i="11" s="1"/>
  <c r="K201" i="11"/>
  <c r="M201" i="11" s="1"/>
  <c r="K202" i="11"/>
  <c r="M202" i="11" s="1"/>
  <c r="K203" i="11"/>
  <c r="M203" i="11" s="1"/>
  <c r="K204" i="11"/>
  <c r="M204" i="11" s="1"/>
  <c r="K205" i="11"/>
  <c r="M205" i="11" s="1"/>
  <c r="K206" i="11"/>
  <c r="M206" i="11" s="1"/>
  <c r="K207" i="11"/>
  <c r="M207" i="11" s="1"/>
  <c r="K208" i="11"/>
  <c r="M208" i="11" s="1"/>
  <c r="K209" i="11"/>
  <c r="M209" i="11" s="1"/>
  <c r="K210" i="11"/>
  <c r="M210" i="11" s="1"/>
  <c r="K211" i="11"/>
  <c r="M211" i="11" s="1"/>
  <c r="K212" i="11"/>
  <c r="M212" i="11" s="1"/>
  <c r="K213" i="11"/>
  <c r="M213" i="11" s="1"/>
  <c r="K214" i="11"/>
  <c r="M214" i="11" s="1"/>
  <c r="K215" i="11"/>
  <c r="M215" i="11" s="1"/>
  <c r="K216" i="11"/>
  <c r="M216" i="11" s="1"/>
  <c r="K217" i="11"/>
  <c r="M217" i="11" s="1"/>
  <c r="K218" i="11"/>
  <c r="M218" i="11" s="1"/>
  <c r="K219" i="11"/>
  <c r="M219" i="11" s="1"/>
  <c r="K220" i="11"/>
  <c r="M220" i="11" s="1"/>
  <c r="K221" i="11"/>
  <c r="M221" i="11" s="1"/>
  <c r="K222" i="11"/>
  <c r="M222" i="11" s="1"/>
  <c r="K223" i="11"/>
  <c r="M223" i="11" s="1"/>
  <c r="K224" i="11"/>
  <c r="M224" i="11" s="1"/>
  <c r="K225" i="11"/>
  <c r="M225" i="11" s="1"/>
  <c r="K226" i="11"/>
  <c r="M226" i="11" s="1"/>
  <c r="K227" i="11"/>
  <c r="M227" i="11" s="1"/>
  <c r="K228" i="11"/>
  <c r="M228" i="11" s="1"/>
  <c r="K229" i="11"/>
  <c r="M229" i="11" s="1"/>
  <c r="K230" i="11"/>
  <c r="M230" i="11" s="1"/>
  <c r="K231" i="11"/>
  <c r="M231" i="11" s="1"/>
  <c r="K233" i="11"/>
  <c r="M233" i="11" s="1"/>
  <c r="K234" i="11"/>
  <c r="M234" i="11" s="1"/>
  <c r="K235" i="11"/>
  <c r="M235" i="11" s="1"/>
  <c r="K236" i="11"/>
  <c r="M236" i="11" s="1"/>
  <c r="K237" i="11"/>
  <c r="M237" i="11" s="1"/>
  <c r="K238" i="11"/>
  <c r="M238" i="11" s="1"/>
  <c r="K244" i="11"/>
  <c r="M244" i="11" s="1"/>
  <c r="K246" i="11"/>
  <c r="M246" i="11" s="1"/>
  <c r="K248" i="11"/>
  <c r="M248" i="11" s="1"/>
  <c r="K249" i="11"/>
  <c r="M249" i="11" s="1"/>
  <c r="K250" i="11"/>
  <c r="M250" i="11" s="1"/>
  <c r="K251" i="11"/>
  <c r="M251" i="11" s="1"/>
  <c r="K252" i="11"/>
  <c r="M252" i="11" s="1"/>
  <c r="K253" i="11"/>
  <c r="M253" i="11" s="1"/>
  <c r="K254" i="11"/>
  <c r="M254" i="11" s="1"/>
  <c r="K255" i="11"/>
  <c r="M255" i="11" s="1"/>
  <c r="K256" i="11"/>
  <c r="M256" i="11" s="1"/>
  <c r="K258" i="11"/>
  <c r="M258" i="11" s="1"/>
  <c r="K259" i="11"/>
  <c r="M259" i="11" s="1"/>
  <c r="K260" i="11"/>
  <c r="M260" i="11" s="1"/>
  <c r="K261" i="11"/>
  <c r="M261" i="11" s="1"/>
  <c r="K262" i="11"/>
  <c r="M262" i="11" s="1"/>
  <c r="K263" i="11"/>
  <c r="M263" i="11" s="1"/>
  <c r="K264" i="11"/>
  <c r="M264" i="11" s="1"/>
  <c r="K266" i="11"/>
  <c r="M266" i="11" s="1"/>
  <c r="K267" i="11"/>
  <c r="M267" i="11" s="1"/>
  <c r="K268" i="11"/>
  <c r="M268" i="11" s="1"/>
  <c r="K269" i="11"/>
  <c r="M269" i="11" s="1"/>
  <c r="K270" i="11"/>
  <c r="M270" i="11" s="1"/>
  <c r="K271" i="11"/>
  <c r="M271" i="11" s="1"/>
  <c r="K272" i="11"/>
  <c r="M272" i="11" s="1"/>
  <c r="K273" i="11"/>
  <c r="M273" i="11" s="1"/>
  <c r="K276" i="11"/>
  <c r="M276" i="11" s="1"/>
  <c r="K278" i="11"/>
  <c r="M278" i="11" s="1"/>
  <c r="K279" i="11"/>
  <c r="M279" i="11" s="1"/>
  <c r="K280" i="11"/>
  <c r="M280" i="11" s="1"/>
  <c r="K281" i="11"/>
  <c r="M281" i="11" s="1"/>
  <c r="K283" i="11"/>
  <c r="M283" i="11" s="1"/>
  <c r="K284" i="11"/>
  <c r="M284" i="11" s="1"/>
  <c r="K285" i="11"/>
  <c r="M285" i="11" s="1"/>
  <c r="K286" i="11"/>
  <c r="M286" i="11" s="1"/>
  <c r="K287" i="11"/>
  <c r="M287" i="11" s="1"/>
  <c r="K288" i="11"/>
  <c r="M288" i="11" s="1"/>
  <c r="K289" i="11"/>
  <c r="M289" i="11" s="1"/>
  <c r="K290" i="11"/>
  <c r="M290" i="11" s="1"/>
  <c r="K291" i="11"/>
  <c r="M291" i="11" s="1"/>
  <c r="K292" i="11"/>
  <c r="M292" i="11" s="1"/>
  <c r="K293" i="11"/>
  <c r="M293" i="11" s="1"/>
  <c r="K294" i="11"/>
  <c r="M294" i="11" s="1"/>
  <c r="K295" i="11"/>
  <c r="M295" i="11" s="1"/>
  <c r="K296" i="11"/>
  <c r="M296" i="11" s="1"/>
  <c r="K297" i="11"/>
  <c r="M297" i="11" s="1"/>
  <c r="K298" i="11"/>
  <c r="M298" i="11" s="1"/>
  <c r="K299" i="11"/>
  <c r="M299" i="11" s="1"/>
  <c r="M140" i="11"/>
  <c r="K110" i="11"/>
  <c r="M110" i="11" s="1"/>
  <c r="K111" i="11"/>
  <c r="M111" i="11" s="1"/>
  <c r="K113" i="11"/>
  <c r="M113" i="11" s="1"/>
  <c r="K114" i="11"/>
  <c r="M114" i="11" s="1"/>
  <c r="K115" i="11"/>
  <c r="M115" i="11" s="1"/>
  <c r="K118" i="11"/>
  <c r="M118" i="11" s="1"/>
  <c r="K120" i="11"/>
  <c r="M120" i="11" s="1"/>
  <c r="K122" i="11"/>
  <c r="M122" i="11" s="1"/>
  <c r="K124" i="11"/>
  <c r="M124" i="11" s="1"/>
  <c r="K125" i="11"/>
  <c r="M125" i="11" s="1"/>
  <c r="K126" i="11"/>
  <c r="M126" i="11" s="1"/>
  <c r="K128" i="11"/>
  <c r="M128" i="11" s="1"/>
  <c r="K129" i="11"/>
  <c r="M129" i="11" s="1"/>
  <c r="K130" i="11"/>
  <c r="M130" i="11" s="1"/>
  <c r="K131" i="11"/>
  <c r="M131" i="11" s="1"/>
  <c r="K133" i="11"/>
  <c r="M133" i="11" s="1"/>
  <c r="K134" i="11"/>
  <c r="M134" i="11" s="1"/>
  <c r="K84" i="11"/>
  <c r="M84" i="11" s="1"/>
  <c r="K85" i="11"/>
  <c r="M85" i="11" s="1"/>
  <c r="K86" i="11"/>
  <c r="M86" i="11" s="1"/>
  <c r="K87" i="11"/>
  <c r="M87" i="11" s="1"/>
  <c r="K93" i="11"/>
  <c r="M93" i="11" s="1"/>
  <c r="K94" i="11"/>
  <c r="M94" i="11" s="1"/>
  <c r="K100" i="11"/>
  <c r="M100" i="11" s="1"/>
  <c r="K102" i="11"/>
  <c r="M102" i="11" s="1"/>
  <c r="K103" i="11"/>
  <c r="M103" i="11" s="1"/>
  <c r="K104" i="11"/>
  <c r="M104" i="11" s="1"/>
  <c r="K106" i="11"/>
  <c r="M106" i="11" s="1"/>
  <c r="K107" i="11"/>
  <c r="M107" i="11" s="1"/>
  <c r="K82" i="11"/>
  <c r="M82" i="11" s="1"/>
  <c r="K64" i="11"/>
  <c r="M64" i="11" s="1"/>
  <c r="K65" i="11"/>
  <c r="M65" i="11" s="1"/>
  <c r="K66" i="11"/>
  <c r="M66" i="11" s="1"/>
  <c r="K67" i="11"/>
  <c r="M67" i="11" s="1"/>
  <c r="K68" i="11"/>
  <c r="M68" i="11" s="1"/>
  <c r="K70" i="11"/>
  <c r="M70" i="11" s="1"/>
  <c r="K71" i="11"/>
  <c r="M71" i="11" s="1"/>
  <c r="K73" i="11"/>
  <c r="M73" i="11" s="1"/>
  <c r="K75" i="11"/>
  <c r="M75" i="11" s="1"/>
  <c r="K76" i="11"/>
  <c r="M76" i="11" s="1"/>
  <c r="K78" i="11"/>
  <c r="M78" i="11" s="1"/>
  <c r="K79" i="11"/>
  <c r="M79" i="11" s="1"/>
  <c r="K61" i="11"/>
  <c r="M61" i="11" s="1"/>
  <c r="K15" i="11"/>
  <c r="M15" i="11" s="1"/>
  <c r="K16" i="11"/>
  <c r="M16" i="11" s="1"/>
  <c r="K18" i="11"/>
  <c r="M18" i="11" s="1"/>
  <c r="K19" i="11"/>
  <c r="M19" i="11" s="1"/>
  <c r="K20" i="11"/>
  <c r="M20" i="11" s="1"/>
  <c r="K21" i="11"/>
  <c r="M21" i="11" s="1"/>
  <c r="K22" i="11"/>
  <c r="M22" i="11" s="1"/>
  <c r="K23" i="11"/>
  <c r="M23" i="11" s="1"/>
  <c r="K24" i="11"/>
  <c r="M24" i="11" s="1"/>
  <c r="K25" i="11"/>
  <c r="M25" i="11" s="1"/>
  <c r="K26" i="11"/>
  <c r="M26" i="11" s="1"/>
  <c r="K27" i="11"/>
  <c r="M27" i="11" s="1"/>
  <c r="K28" i="11"/>
  <c r="M28" i="11" s="1"/>
  <c r="K30" i="11"/>
  <c r="M30" i="11" s="1"/>
  <c r="K32" i="11"/>
  <c r="M32" i="11" s="1"/>
  <c r="K33" i="11"/>
  <c r="M33" i="11" s="1"/>
  <c r="K34" i="11"/>
  <c r="M34" i="11" s="1"/>
  <c r="K35" i="11"/>
  <c r="M35" i="11" s="1"/>
  <c r="K37" i="11"/>
  <c r="M37" i="11" s="1"/>
  <c r="K38" i="11"/>
  <c r="M38" i="11" s="1"/>
  <c r="K39" i="11"/>
  <c r="M39" i="11" s="1"/>
  <c r="K40" i="11"/>
  <c r="M40" i="11" s="1"/>
  <c r="K42" i="11"/>
  <c r="M42" i="11" s="1"/>
  <c r="K43" i="11"/>
  <c r="M43" i="11" s="1"/>
  <c r="K44" i="11"/>
  <c r="M44" i="11" s="1"/>
  <c r="K45" i="11"/>
  <c r="M45" i="11" s="1"/>
  <c r="K47" i="11"/>
  <c r="M47" i="11" s="1"/>
  <c r="K48" i="11"/>
  <c r="M48" i="11" s="1"/>
  <c r="K49" i="11"/>
  <c r="M49" i="11" s="1"/>
  <c r="K51" i="11"/>
  <c r="M51" i="11" s="1"/>
  <c r="K52" i="11"/>
  <c r="M52" i="11" s="1"/>
  <c r="K53" i="11"/>
  <c r="M53" i="11" s="1"/>
  <c r="K54" i="11"/>
  <c r="M54" i="11" s="1"/>
  <c r="K56" i="11"/>
  <c r="M56" i="11" s="1"/>
  <c r="K57" i="11"/>
  <c r="M57" i="11" s="1"/>
  <c r="K58" i="11"/>
  <c r="M58" i="11" s="1"/>
  <c r="K59" i="11"/>
  <c r="M59" i="11" s="1"/>
  <c r="K7" i="11"/>
  <c r="M7" i="11" s="1"/>
  <c r="K8" i="11"/>
  <c r="M8" i="11" s="1"/>
  <c r="K9" i="11"/>
  <c r="M9" i="11" s="1"/>
  <c r="K6" i="11"/>
  <c r="J155" i="11"/>
  <c r="K155" i="11" s="1"/>
  <c r="M155" i="11" s="1"/>
  <c r="J99" i="11"/>
  <c r="J98" i="11"/>
  <c r="J96" i="11"/>
  <c r="J92" i="11"/>
  <c r="J72" i="11"/>
  <c r="K72" i="11" s="1"/>
  <c r="M72" i="11" s="1"/>
  <c r="J80" i="11"/>
  <c r="J74" i="11"/>
  <c r="K74" i="11" s="1"/>
  <c r="M74" i="11" s="1"/>
  <c r="J63" i="11"/>
  <c r="J247" i="11"/>
  <c r="J265" i="11"/>
  <c r="J275" i="11"/>
  <c r="J274" i="11"/>
  <c r="J245" i="11"/>
  <c r="J277" i="11"/>
  <c r="J232" i="11"/>
  <c r="J240" i="11"/>
  <c r="J239" i="11"/>
  <c r="J242" i="11"/>
  <c r="K242" i="11" s="1"/>
  <c r="M242" i="11" s="1"/>
  <c r="J197" i="11"/>
  <c r="J192" i="11"/>
  <c r="K192" i="11" s="1"/>
  <c r="M192" i="11" s="1"/>
  <c r="K157" i="11"/>
  <c r="M157" i="11" s="1"/>
  <c r="I80" i="11"/>
  <c r="K80" i="11" s="1"/>
  <c r="M80" i="11" s="1"/>
  <c r="I63" i="11"/>
  <c r="I247" i="11"/>
  <c r="I265" i="11"/>
  <c r="I275" i="11"/>
  <c r="I274" i="11"/>
  <c r="I245" i="11"/>
  <c r="I277" i="11"/>
  <c r="I257" i="11"/>
  <c r="K257" i="11" s="1"/>
  <c r="M257" i="11" s="1"/>
  <c r="I232" i="11"/>
  <c r="I241" i="11"/>
  <c r="K241" i="11" s="1"/>
  <c r="M241" i="11" s="1"/>
  <c r="I240" i="11"/>
  <c r="I239" i="11"/>
  <c r="I197" i="11"/>
  <c r="H247" i="11"/>
  <c r="H265" i="11"/>
  <c r="H275" i="11"/>
  <c r="H274" i="11"/>
  <c r="H245" i="11"/>
  <c r="H277" i="11"/>
  <c r="M343" i="11" l="1"/>
  <c r="K56" i="10"/>
  <c r="K24" i="10"/>
  <c r="K33" i="10"/>
  <c r="K232" i="11"/>
  <c r="M232" i="11" s="1"/>
  <c r="K197" i="11"/>
  <c r="M197" i="11" s="1"/>
  <c r="K247" i="11"/>
  <c r="M247" i="11" s="1"/>
  <c r="K63" i="11"/>
  <c r="M63" i="11" s="1"/>
  <c r="K240" i="11"/>
  <c r="M240" i="11" s="1"/>
  <c r="K239" i="11"/>
  <c r="M239" i="11" s="1"/>
  <c r="K245" i="11"/>
  <c r="M245" i="11" s="1"/>
  <c r="K265" i="11"/>
  <c r="M265" i="11" s="1"/>
  <c r="K277" i="11"/>
  <c r="M277" i="11" s="1"/>
  <c r="K275" i="11"/>
  <c r="M275" i="11" s="1"/>
  <c r="K274" i="11"/>
  <c r="M274" i="11" s="1"/>
  <c r="M138" i="11" l="1"/>
  <c r="G354" i="11"/>
  <c r="K354" i="11" s="1"/>
  <c r="M354" i="11" s="1"/>
  <c r="M350" i="11" s="1"/>
  <c r="G336" i="11"/>
  <c r="K336" i="11" s="1"/>
  <c r="M336" i="11" s="1"/>
  <c r="G99" i="11"/>
  <c r="G98" i="11"/>
  <c r="G135" i="11"/>
  <c r="G137" i="11"/>
  <c r="G89" i="11"/>
  <c r="G92" i="11"/>
  <c r="G96" i="11"/>
  <c r="F380" i="11" l="1"/>
  <c r="F322" i="11" l="1"/>
  <c r="K322" i="11" s="1"/>
  <c r="M322" i="11" s="1"/>
  <c r="F305" i="11"/>
  <c r="F304" i="11"/>
  <c r="K304" i="11" s="1"/>
  <c r="M304" i="11" s="1"/>
  <c r="F99" i="11" l="1"/>
  <c r="F98" i="11"/>
  <c r="F90" i="11"/>
  <c r="K90" i="11" s="1"/>
  <c r="M90" i="11" s="1"/>
  <c r="F135" i="11"/>
  <c r="F137" i="11"/>
  <c r="F89" i="11"/>
  <c r="F92" i="11"/>
  <c r="F96" i="11"/>
  <c r="E380" i="11" l="1"/>
  <c r="K380" i="11" s="1"/>
  <c r="M380" i="11" s="1"/>
  <c r="M357" i="11" s="1"/>
  <c r="E323" i="11" l="1"/>
  <c r="K323" i="11" s="1"/>
  <c r="M323" i="11" s="1"/>
  <c r="E319" i="11"/>
  <c r="K319" i="11" s="1"/>
  <c r="M319" i="11" s="1"/>
  <c r="E318" i="11"/>
  <c r="K318" i="11" s="1"/>
  <c r="M318" i="11" s="1"/>
  <c r="E317" i="11"/>
  <c r="K317" i="11" s="1"/>
  <c r="M317" i="11" s="1"/>
  <c r="E321" i="11"/>
  <c r="K321" i="11" s="1"/>
  <c r="M321" i="11" s="1"/>
  <c r="E335" i="11"/>
  <c r="K335" i="11" s="1"/>
  <c r="M335" i="11" s="1"/>
  <c r="M333" i="11" s="1"/>
  <c r="E305" i="11"/>
  <c r="K305" i="11" s="1"/>
  <c r="M305" i="11" s="1"/>
  <c r="E303" i="11"/>
  <c r="K303" i="11" s="1"/>
  <c r="M303" i="11" s="1"/>
  <c r="M300" i="11" l="1"/>
  <c r="M316" i="11"/>
  <c r="E99" i="11"/>
  <c r="K99" i="11" s="1"/>
  <c r="M99" i="11" s="1"/>
  <c r="E98" i="11"/>
  <c r="K98" i="11" s="1"/>
  <c r="M98" i="11" s="1"/>
  <c r="E135" i="11"/>
  <c r="K135" i="11" s="1"/>
  <c r="M135" i="11" s="1"/>
  <c r="E137" i="11"/>
  <c r="K137" i="11" s="1"/>
  <c r="M137" i="11" s="1"/>
  <c r="E89" i="11"/>
  <c r="K89" i="11" s="1"/>
  <c r="M89" i="11" s="1"/>
  <c r="E92" i="11"/>
  <c r="K92" i="11" s="1"/>
  <c r="M92" i="11" s="1"/>
  <c r="E96" i="11"/>
  <c r="K96" i="11" s="1"/>
  <c r="M96" i="11" s="1"/>
  <c r="M81" i="11" l="1"/>
  <c r="M108" i="11"/>
  <c r="M60" i="11"/>
  <c r="M6" i="11"/>
  <c r="M5" i="11" l="1"/>
  <c r="M13" i="11"/>
  <c r="G89" i="2"/>
  <c r="M4" i="11" l="1"/>
  <c r="B6" i="8" s="1"/>
  <c r="F218" i="2"/>
  <c r="E246" i="2" l="1"/>
  <c r="E96" i="2"/>
  <c r="M246" i="2" l="1"/>
  <c r="M248" i="2"/>
  <c r="M218" i="2"/>
  <c r="M250" i="2" l="1"/>
  <c r="M107" i="2"/>
  <c r="N107" i="2" s="1"/>
  <c r="P107" i="2" s="1"/>
  <c r="M105" i="2"/>
  <c r="N105" i="2" s="1"/>
  <c r="P105" i="2" s="1"/>
  <c r="M136" i="2"/>
  <c r="M38" i="2"/>
  <c r="N38" i="2" s="1"/>
  <c r="P38" i="2" s="1"/>
  <c r="M36" i="2"/>
  <c r="N36" i="2" s="1"/>
  <c r="P36" i="2" s="1"/>
  <c r="L248" i="2" l="1"/>
  <c r="L251" i="2"/>
  <c r="L20" i="2"/>
  <c r="K248" i="2"/>
  <c r="K229" i="2"/>
  <c r="N229" i="2" s="1"/>
  <c r="P229" i="2" s="1"/>
  <c r="K221" i="2"/>
  <c r="N221" i="2" s="1"/>
  <c r="P221" i="2" s="1"/>
  <c r="K224" i="2"/>
  <c r="N224" i="2" s="1"/>
  <c r="P224" i="2" s="1"/>
  <c r="N20" i="2" l="1"/>
  <c r="P20" i="2" s="1"/>
  <c r="L28" i="2"/>
  <c r="N28" i="2" s="1"/>
  <c r="P28" i="2" s="1"/>
  <c r="K218" i="2"/>
  <c r="K251" i="2"/>
  <c r="N251" i="2" s="1"/>
  <c r="P251" i="2" s="1"/>
  <c r="P13" i="2" l="1"/>
  <c r="J248" i="2"/>
  <c r="J136" i="2"/>
  <c r="H250" i="2" l="1"/>
  <c r="I248" i="2"/>
  <c r="I218" i="2"/>
  <c r="H246" i="2" l="1"/>
  <c r="H248" i="2"/>
  <c r="H218" i="2"/>
  <c r="H136" i="2" l="1"/>
  <c r="N136" i="2" s="1"/>
  <c r="P136" i="2" s="1"/>
  <c r="G246" i="2" l="1"/>
  <c r="G248" i="2"/>
  <c r="G250" i="2"/>
  <c r="G96" i="2"/>
  <c r="G93" i="2"/>
  <c r="G85" i="2"/>
  <c r="G81" i="2"/>
  <c r="G216" i="2" l="1"/>
  <c r="G207" i="2"/>
  <c r="G218" i="2"/>
  <c r="N218" i="2" s="1"/>
  <c r="P218" i="2" s="1"/>
  <c r="F246" i="2" l="1"/>
  <c r="N246" i="2" s="1"/>
  <c r="P246" i="2" s="1"/>
  <c r="F248" i="2"/>
  <c r="F250" i="2" l="1"/>
  <c r="N153" i="2"/>
  <c r="P153" i="2" s="1"/>
  <c r="N152" i="2"/>
  <c r="P152" i="2" s="1"/>
  <c r="N151" i="2"/>
  <c r="P151" i="2" s="1"/>
  <c r="N148" i="2"/>
  <c r="P148" i="2" s="1"/>
  <c r="F96" i="2" l="1"/>
  <c r="N96" i="2" s="1"/>
  <c r="P96" i="2" s="1"/>
  <c r="F93" i="2"/>
  <c r="F89" i="2"/>
  <c r="F88" i="2"/>
  <c r="N88" i="2" s="1"/>
  <c r="P88" i="2" s="1"/>
  <c r="F85" i="2"/>
  <c r="F81" i="2"/>
  <c r="F216" i="2" l="1"/>
  <c r="N216" i="2" s="1"/>
  <c r="P216" i="2" s="1"/>
  <c r="F211" i="2"/>
  <c r="N211" i="2" s="1"/>
  <c r="P211" i="2" s="1"/>
  <c r="F212" i="2"/>
  <c r="N212" i="2" s="1"/>
  <c r="P212" i="2" s="1"/>
  <c r="F213" i="2"/>
  <c r="N213" i="2" s="1"/>
  <c r="P213" i="2" s="1"/>
  <c r="F207" i="2"/>
  <c r="E248" i="2" l="1"/>
  <c r="N248" i="2" s="1"/>
  <c r="P248" i="2" s="1"/>
  <c r="E250" i="2"/>
  <c r="N250" i="2" s="1"/>
  <c r="P250" i="2" s="1"/>
  <c r="E93" i="2"/>
  <c r="N93" i="2" s="1"/>
  <c r="P93" i="2" s="1"/>
  <c r="E89" i="2"/>
  <c r="N89" i="2" s="1"/>
  <c r="P89" i="2" s="1"/>
  <c r="E85" i="2"/>
  <c r="N85" i="2" s="1"/>
  <c r="P85" i="2" s="1"/>
  <c r="E81" i="2"/>
  <c r="N81" i="2" s="1"/>
  <c r="P81" i="2" s="1"/>
  <c r="E207" i="2"/>
  <c r="N207" i="2" s="1"/>
  <c r="P207" i="2" s="1"/>
  <c r="P145" i="2" s="1"/>
  <c r="P98" i="2"/>
  <c r="P78" i="2" l="1"/>
  <c r="P230" i="2"/>
  <c r="I5" i="10"/>
  <c r="K5" i="10" s="1"/>
  <c r="K4" i="10" l="1"/>
  <c r="K3" i="10" s="1"/>
  <c r="B5" i="8" s="1"/>
  <c r="A356" i="8" l="1"/>
  <c r="G7" i="3"/>
  <c r="G10" i="3"/>
  <c r="G14" i="3"/>
  <c r="G18" i="3"/>
  <c r="G21" i="3"/>
  <c r="G46" i="3"/>
  <c r="G49" i="3"/>
  <c r="G52" i="3"/>
  <c r="G55" i="3"/>
  <c r="G58" i="3"/>
  <c r="G61" i="3"/>
  <c r="G64" i="3"/>
  <c r="G67" i="3"/>
  <c r="G70" i="3"/>
  <c r="G73" i="3"/>
  <c r="G76" i="3"/>
  <c r="G79" i="3"/>
  <c r="G82" i="3"/>
  <c r="G85" i="3"/>
  <c r="G88" i="3"/>
  <c r="G91" i="3"/>
  <c r="G94" i="3"/>
  <c r="G97" i="3"/>
  <c r="G100" i="3"/>
  <c r="G103" i="3"/>
  <c r="H111" i="3"/>
  <c r="G113" i="3"/>
  <c r="G115" i="3"/>
  <c r="G128" i="3"/>
  <c r="G145" i="3"/>
  <c r="G147" i="3"/>
  <c r="G149" i="3"/>
  <c r="G159" i="3"/>
  <c r="G162" i="3"/>
  <c r="G176" i="3"/>
  <c r="G183" i="3"/>
  <c r="G185" i="3"/>
  <c r="G190" i="3"/>
  <c r="G201" i="3"/>
  <c r="G221" i="3"/>
  <c r="G232" i="3"/>
  <c r="G241" i="3"/>
  <c r="G244" i="3"/>
  <c r="G247" i="3"/>
  <c r="G254" i="3"/>
  <c r="G264" i="3"/>
  <c r="G270" i="3"/>
  <c r="G281" i="3"/>
  <c r="G287" i="3"/>
  <c r="G309" i="3"/>
  <c r="G319" i="3"/>
  <c r="G336" i="3"/>
  <c r="G347" i="3"/>
  <c r="G358" i="3"/>
  <c r="G363" i="3"/>
  <c r="G369" i="3"/>
  <c r="G375" i="3"/>
  <c r="G383" i="3"/>
  <c r="G387" i="3"/>
  <c r="G392" i="3"/>
  <c r="G404" i="3"/>
  <c r="G428" i="3" s="1"/>
  <c r="G407" i="3"/>
  <c r="G410" i="3"/>
  <c r="G413" i="3"/>
  <c r="G10" i="5"/>
  <c r="G13" i="5"/>
  <c r="G16" i="5"/>
  <c r="G19" i="5"/>
  <c r="G44" i="5"/>
  <c r="G47" i="5"/>
  <c r="G53" i="5"/>
  <c r="G59" i="5"/>
  <c r="G62" i="5"/>
  <c r="G65" i="5"/>
  <c r="G68" i="5"/>
  <c r="G71" i="5"/>
  <c r="G74" i="5"/>
  <c r="G77" i="5"/>
  <c r="G80" i="5"/>
  <c r="G83" i="5"/>
  <c r="G86" i="5"/>
  <c r="G89" i="5"/>
  <c r="G102" i="5"/>
  <c r="G105" i="5"/>
  <c r="G119" i="5"/>
  <c r="G123" i="5"/>
  <c r="G125" i="5"/>
  <c r="G127" i="5"/>
  <c r="G139" i="5"/>
  <c r="G142" i="5"/>
  <c r="G158" i="5"/>
  <c r="G165" i="5"/>
  <c r="G167" i="5"/>
  <c r="G172" i="5"/>
  <c r="G184" i="5"/>
  <c r="G187" i="5"/>
  <c r="G208" i="5"/>
  <c r="G255" i="5"/>
  <c r="G265" i="5"/>
  <c r="G268" i="5"/>
  <c r="G277" i="5"/>
  <c r="G288" i="5"/>
  <c r="G335" i="5"/>
  <c r="G347" i="5"/>
  <c r="G394" i="5"/>
  <c r="G416" i="5"/>
  <c r="G426" i="5"/>
  <c r="G435" i="5"/>
  <c r="G454" i="5"/>
  <c r="G465" i="5"/>
  <c r="G476" i="5"/>
  <c r="G487" i="5"/>
  <c r="G493" i="5"/>
  <c r="G499" i="5"/>
  <c r="G509" i="5"/>
  <c r="G516" i="5"/>
  <c r="G525" i="5"/>
  <c r="G528" i="5"/>
  <c r="G534" i="5"/>
  <c r="G547" i="5"/>
  <c r="G571" i="5" s="1"/>
  <c r="G550" i="5"/>
  <c r="G553" i="5"/>
  <c r="G556" i="5"/>
  <c r="P5" i="2" l="1"/>
  <c r="P4" i="2" s="1"/>
  <c r="B3" i="8" s="1"/>
  <c r="B12" i="8" s="1"/>
  <c r="G209" i="3"/>
  <c r="G417" i="3" s="1"/>
  <c r="G539" i="5"/>
  <c r="G566" i="5" s="1"/>
  <c r="G291" i="3"/>
  <c r="G418" i="3" s="1"/>
  <c r="G398" i="5"/>
  <c r="G561" i="5" s="1"/>
  <c r="G396" i="3"/>
  <c r="G423" i="3" s="1"/>
  <c r="G479" i="5"/>
  <c r="G563" i="5" s="1"/>
  <c r="G195" i="5"/>
  <c r="G560" i="5" s="1"/>
  <c r="G350" i="3"/>
  <c r="G420" i="3" s="1"/>
  <c r="B13"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kristijan.skoc</author>
  </authors>
  <commentList>
    <comment ref="M93" authorId="0" shapeId="0" xr:uid="{00000000-0006-0000-0100-00000A000000}">
      <text>
        <r>
          <rPr>
            <b/>
            <sz val="9"/>
            <color indexed="81"/>
            <rFont val="Tahoma"/>
            <family val="2"/>
            <charset val="238"/>
          </rPr>
          <t>kristijan.skoc:</t>
        </r>
        <r>
          <rPr>
            <sz val="9"/>
            <color indexed="81"/>
            <rFont val="Tahoma"/>
            <family val="2"/>
            <charset val="238"/>
          </rPr>
          <t xml:space="preserve">
uključeno i proširenje za okna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karmen.komljen.petos</author>
  </authors>
  <commentList>
    <comment ref="B53" authorId="0" shapeId="0" xr:uid="{00000000-0006-0000-0B00-000005000000}">
      <text>
        <r>
          <rPr>
            <b/>
            <sz val="9"/>
            <color indexed="81"/>
            <rFont val="Tahoma"/>
            <charset val="1"/>
          </rPr>
          <t>karmen.komljen.petos:</t>
        </r>
        <r>
          <rPr>
            <sz val="9"/>
            <color indexed="81"/>
            <rFont val="Tahoma"/>
            <charset val="1"/>
          </rPr>
          <t xml:space="preserve">
provjeriti broj komada pkoklopaca
</t>
        </r>
      </text>
    </comment>
  </commentList>
</comments>
</file>

<file path=xl/sharedStrings.xml><?xml version="1.0" encoding="utf-8"?>
<sst xmlns="http://schemas.openxmlformats.org/spreadsheetml/2006/main" count="5452" uniqueCount="2848">
  <si>
    <t xml:space="preserve">Dobava, doprema na odlagalište gradilišta i istovar čepova profila DN 160 mm. </t>
  </si>
  <si>
    <t>NAPOMENA: Prije dobave okana provjeriti stanje na terenu.</t>
  </si>
  <si>
    <t>ASFALTERSKI RADOVI</t>
  </si>
  <si>
    <t>G)</t>
  </si>
  <si>
    <t>Čepovi se dobavljaju za privremeno zatvaranje cijevi kućnih priključaka.</t>
  </si>
  <si>
    <t>Obračun po komadu dobavljenog čepa.</t>
  </si>
  <si>
    <t>2</t>
  </si>
  <si>
    <t>- za kućne priključke dužine 5 m'</t>
  </si>
  <si>
    <t>A)</t>
  </si>
  <si>
    <t>PRIPREMNI RADOVI</t>
  </si>
  <si>
    <t>1.</t>
  </si>
  <si>
    <t>m'</t>
  </si>
  <si>
    <t>a'</t>
  </si>
  <si>
    <t>kn</t>
  </si>
  <si>
    <t>2.</t>
  </si>
  <si>
    <t>kompl</t>
  </si>
  <si>
    <t>3.</t>
  </si>
  <si>
    <t>4.</t>
  </si>
  <si>
    <t>kom</t>
  </si>
  <si>
    <t>5.</t>
  </si>
  <si>
    <t>6.</t>
  </si>
  <si>
    <t>7.</t>
  </si>
  <si>
    <t>B)</t>
  </si>
  <si>
    <t>ZEMLJANI RADOVI</t>
  </si>
  <si>
    <t xml:space="preserve">Jedinična cijena stavke uključuje sav potreban rad, materijal i transporte za kompletnu izvedbu stavke. </t>
  </si>
  <si>
    <t>8.</t>
  </si>
  <si>
    <t>C)</t>
  </si>
  <si>
    <t>D)</t>
  </si>
  <si>
    <t>E)</t>
  </si>
  <si>
    <t>MONTERSKI RADOVI</t>
  </si>
  <si>
    <t>Obračun po m' ugrađenih cijevi.</t>
  </si>
  <si>
    <t>Obračun po komadu kompletno izvedenog kućnog priključka.</t>
  </si>
  <si>
    <t>F)</t>
  </si>
  <si>
    <t>OSTALI RADOVI</t>
  </si>
  <si>
    <t>Obračun po komplet izvedenom križanju.</t>
  </si>
  <si>
    <t>Geodetsko snimanje izvedenih radova s izradom elaborata katastra vodova, sa svim ucrtanim  priključcima na kolektore.</t>
  </si>
  <si>
    <t xml:space="preserve">Jedinična cijena stavke uključuje sav potreban rad i materijal za kompletnu izvedbu stavke. </t>
  </si>
  <si>
    <t>Obračun po m’.</t>
  </si>
  <si>
    <t>OSTALI RADOVI UKUPNO:</t>
  </si>
  <si>
    <t>BETONSKI I ARMIRANO-BETONSKI RADOVI</t>
  </si>
  <si>
    <t>UKUPNO:</t>
  </si>
  <si>
    <t>PRIPREMA KUĆNIH PRIKLJUČAKA NA JAVNOJ POVRŠINI</t>
  </si>
  <si>
    <t xml:space="preserve">Građevinski radovi na spajanju kućnih priključaka. </t>
  </si>
  <si>
    <t>Jediničnom cijenom obuhvatiti sve građevinske radove i materijale za izvedbu stavke.</t>
  </si>
  <si>
    <t xml:space="preserve">Cijenom jednog priključka obuhvaćen je : </t>
  </si>
  <si>
    <t>PRIPREMA KUĆNIH PRIKLJUČAKA NA JAVNOJ POVRŠINI UKUPNO:</t>
  </si>
  <si>
    <t>Obračun po komadu dobavljene spojnice.</t>
  </si>
  <si>
    <t>Jediničnom cijenom obuhvatiti sve monterske radove. Dobava materijala je u monterskim radovima.</t>
  </si>
  <si>
    <t>Cijenom jednog priključka obuhvaćena je montaža:</t>
  </si>
  <si>
    <t xml:space="preserve">                                   REKAPITULACIJA</t>
  </si>
  <si>
    <t xml:space="preserve">Jedinična cijena stavke uključuje sav potreban terenski i uredski rad za kompletnu izvedbu stavke. </t>
  </si>
  <si>
    <t>Isporučiti obrađenu snimku kanala na DVD mediju u mpeg2 formatu.</t>
  </si>
  <si>
    <t>Ako cjevovod ne zadovoljava ispitne zahtjeve Izvođač je dužan sanirati cjevovod. Sva višekratna snimanja nakon sanacije cjevovoda neće se posebno obračunavati, već svako drugo i daljnje snimanje ide na teret Izvoditelja radova.</t>
  </si>
  <si>
    <t>Obračun po m’ snimljenog cjevovoda.</t>
  </si>
  <si>
    <t>Snimanje izvedenog cjevovoda po završetku pojedinog kolektora robot- kamerom, a prije izvedbe završnih slojeva. Prikaz snimka putem predanog pisanog elaborata sa video snimkom.</t>
  </si>
  <si>
    <t>Obračun po m' ispitanog cjevovoda.</t>
  </si>
  <si>
    <t>Monterski radovi na spajanju kućnih priključaka.</t>
  </si>
  <si>
    <t xml:space="preserve">Izvedba križanja  s postojećim vodovodom i oborinskom kanalizacijom ako se nađu na trasi - niveleti kanalizacije pa ih je potrebno preložiti u suradnji s nadležnom institucijom. Prelaganje pretpostavlja iskop u dužini cca 3,0 m s jedne i druge strane od križanja, zaštita instalacije i zatrpavanje do vrha rova i sve što čini postojeću instalaciju. Sva eventualna oštećenja zbog neprimjenjene zaštite i nestručnog rada past će na teret izvoditelja radova. </t>
  </si>
  <si>
    <t>9.</t>
  </si>
  <si>
    <t>Okno se sastoji od:</t>
  </si>
  <si>
    <t>- Svi dijelovi okna moraju biti izrađeni od istovrsnog materijala, a međusobno se spajaju s brtvama. Materijal brtve mora biti izveden po EN681-1,EN 681-2, EN 681-3 ili EN 681-4.</t>
  </si>
  <si>
    <t>Ponuditelj je uz ponudu dužan priložiti slijedeće:</t>
  </si>
  <si>
    <t>- ISO 9001 certifikat proizvođača okana</t>
  </si>
  <si>
    <t>- izjavu o sukladnosti prema prEN 13598-2:2004 izdanu od strane proizvođača okana</t>
  </si>
  <si>
    <t>- ovlaštenje od strane ovlaštene kuće u RH  (IGH ili sl.) da je okno u skladu s normom  prEN 13598-2:2004 te da  proizvođač može dati izjavu o sukladnosti</t>
  </si>
  <si>
    <t>Okna isporučivati u komadu.</t>
  </si>
  <si>
    <t>Obračun po komadu dobavljenog okna.</t>
  </si>
  <si>
    <t>1</t>
  </si>
  <si>
    <t>3</t>
  </si>
  <si>
    <t>Obračun po komadu dobavljenog luka.</t>
  </si>
  <si>
    <t>luk 30°</t>
  </si>
  <si>
    <t>luk 45°</t>
  </si>
  <si>
    <t>Dobava, doprema na odlagalište gradilišta i istovar materijala za pripremu za spajanje kućnih priključaka.</t>
  </si>
  <si>
    <t>Obračun po komadu ugrađenog okana.</t>
  </si>
  <si>
    <t>DN 800 mm</t>
  </si>
  <si>
    <t>DN 625 mm</t>
  </si>
  <si>
    <t>10.</t>
  </si>
  <si>
    <t>a)</t>
  </si>
  <si>
    <t>b)</t>
  </si>
  <si>
    <t>5</t>
  </si>
  <si>
    <t>E1)</t>
  </si>
  <si>
    <t>DOBAVA I DOPREMA MATERIJALA</t>
  </si>
  <si>
    <t>E2)</t>
  </si>
  <si>
    <t>UGRADNJA MATERIJALA</t>
  </si>
  <si>
    <t>DOBAVA I DOPREMA MATERIJALA UKUPNO:</t>
  </si>
  <si>
    <t>UGRADNJA MATERIJALA UKUPNO:</t>
  </si>
  <si>
    <t>Ispunjava ponuditelj:</t>
  </si>
  <si>
    <t>- tip:</t>
  </si>
  <si>
    <t>- proizvođač:</t>
  </si>
  <si>
    <t>- zemlja porijekla:</t>
  </si>
  <si>
    <t>luk 15°</t>
  </si>
  <si>
    <t>Izrada projekta prometnog rješenja. Jedinična cijena stavke uključuje sve potrebne terenske i uredske radove za izradu elaborata. Elaborat prometnog rješenja izraditi u min. četiri primjerka. Obračun po kompletu.</t>
  </si>
  <si>
    <t xml:space="preserve">Osiguranje prometa za vrijeme izvođenja radova na izgradnji kanalizacije postavom raznih prometnih i svjetlosnih signala, a prema prometnom rješenju. Izvesti prema zahtjevu ustanove nadležne za sigurnost prometa. </t>
  </si>
  <si>
    <t>Obračun po m'.</t>
  </si>
  <si>
    <t xml:space="preserve">Jedinična cijena stavke uključuje sav potreban rad, vodu, materijal i pomoćna sredstva za izvedbu opisanog rada. </t>
  </si>
  <si>
    <t>- montaža brtve za spoj cijevi na PE okno (ako priključak nije tvornički izveden)</t>
  </si>
  <si>
    <t>15</t>
  </si>
  <si>
    <t>6.1.</t>
  </si>
  <si>
    <t>6.2.</t>
  </si>
  <si>
    <t>Lukovi se dobavljaju za spajanje kućnih priključaka u dno okna.</t>
  </si>
  <si>
    <t>- za kućne priključke dužine 10 m'</t>
  </si>
  <si>
    <t>Zajedno s lukom dobavlja se i jedna spojnica i jedna brtva, tako da je i to obuhvaćeno ovom stavkom.</t>
  </si>
  <si>
    <t>Dodatno dobaviti spojnice s brtvom za spajanje lukova i cijevi koje su skraćene i nemaju original spojnicu.</t>
  </si>
  <si>
    <t>Obračun po komadu dobavljenog komada.</t>
  </si>
  <si>
    <t xml:space="preserve"> </t>
  </si>
  <si>
    <t xml:space="preserve">Dobava, doprema na odlagalište gradilišta i istovar lukova  30° i 45°profila DN 160 mm za odabranu cijev. </t>
  </si>
  <si>
    <r>
      <t>DN 625 mm</t>
    </r>
    <r>
      <rPr>
        <sz val="11"/>
        <color indexed="8"/>
        <rFont val="Times New Roman"/>
        <family val="1"/>
        <charset val="238"/>
      </rPr>
      <t>, dno1/1, h = 1,25 m</t>
    </r>
  </si>
  <si>
    <r>
      <t>DN 625 mm</t>
    </r>
    <r>
      <rPr>
        <sz val="11"/>
        <color indexed="8"/>
        <rFont val="Times New Roman"/>
        <family val="1"/>
        <charset val="238"/>
      </rPr>
      <t>, dno1/1, h = 1,50 m</t>
    </r>
  </si>
  <si>
    <r>
      <t>DN 625 mm</t>
    </r>
    <r>
      <rPr>
        <sz val="11"/>
        <color indexed="8"/>
        <rFont val="Times New Roman"/>
        <family val="1"/>
        <charset val="238"/>
      </rPr>
      <t>, dno1/1, h = 1,75 m</t>
    </r>
  </si>
  <si>
    <t>Obračun po komadu kućnog priključka.</t>
  </si>
  <si>
    <r>
      <t>m</t>
    </r>
    <r>
      <rPr>
        <vertAlign val="superscript"/>
        <sz val="11"/>
        <color indexed="8"/>
        <rFont val="Times New Roman CE"/>
        <family val="1"/>
        <charset val="238"/>
      </rPr>
      <t>3</t>
    </r>
  </si>
  <si>
    <r>
      <t xml:space="preserve">-  Srednjeg glatkog valjkastog dijela varijabilne visine </t>
    </r>
    <r>
      <rPr>
        <sz val="11"/>
        <color indexed="8"/>
        <rFont val="Times New Roman"/>
        <family val="1"/>
      </rPr>
      <t>(za okna DN 625 ujedno i gornji dio)</t>
    </r>
    <r>
      <rPr>
        <sz val="11"/>
        <color indexed="8"/>
        <rFont val="Times New Roman"/>
        <family val="1"/>
        <charset val="238"/>
      </rPr>
      <t xml:space="preserve"> koji se sastoji od prstena visine 25 cm </t>
    </r>
    <r>
      <rPr>
        <sz val="11"/>
        <color indexed="8"/>
        <rFont val="Times New Roman"/>
        <family val="1"/>
      </rPr>
      <t xml:space="preserve">(za okna DN 625) odnosno prstenovima visine 50 cm i 75 cm (za okna DN 800 i DN 1000) </t>
    </r>
    <r>
      <rPr>
        <sz val="11"/>
        <color indexed="8"/>
        <rFont val="Times New Roman"/>
        <family val="1"/>
        <charset val="238"/>
      </rPr>
      <t xml:space="preserve"> s brtvama za međusobno spajanje, koji se može bušiti radi izvedbe priključka "na licu mjesta". Priključak na okno se izvodi direktnim spojem cijevi i okna. Brtva spajanja cijevi i okna mora biti identična brtvi kojom se spaja  cijev u dnu okna.</t>
    </r>
  </si>
  <si>
    <r>
      <t>DN 800 mm</t>
    </r>
    <r>
      <rPr>
        <sz val="11"/>
        <color indexed="8"/>
        <rFont val="Times New Roman"/>
        <family val="1"/>
        <charset val="238"/>
      </rPr>
      <t>, dno1/1, h = 2,25 m</t>
    </r>
  </si>
  <si>
    <t>Doprema s odlagališta, spuštanje u rov te kompletna montaža modularnih okana DN 625, 800 i 1000 mm izrađenih od polietilena visoke gustoće PE80  prema pr EN 13598-2.</t>
  </si>
  <si>
    <t>DN 1000 mm</t>
  </si>
  <si>
    <t>- ugradnja čepa DN 160 mm za zatvaranje cijevi</t>
  </si>
  <si>
    <t>- montaža luka 30° ili 45° DN 160 mm (po potrebi)</t>
  </si>
  <si>
    <r>
      <t>-pijesak (m</t>
    </r>
    <r>
      <rPr>
        <vertAlign val="superscript"/>
        <sz val="11"/>
        <color indexed="8"/>
        <rFont val="Times New Roman CE"/>
        <family val="1"/>
        <charset val="238"/>
      </rPr>
      <t>3</t>
    </r>
    <r>
      <rPr>
        <sz val="11"/>
        <color indexed="8"/>
        <rFont val="Times New Roman CE"/>
        <charset val="238"/>
      </rPr>
      <t>5,0</t>
    </r>
    <r>
      <rPr>
        <sz val="11"/>
        <color indexed="8"/>
        <rFont val="Times New Roman CE"/>
        <family val="1"/>
        <charset val="238"/>
      </rPr>
      <t>0)</t>
    </r>
  </si>
  <si>
    <r>
      <t>-zatrpavanje (m</t>
    </r>
    <r>
      <rPr>
        <vertAlign val="superscript"/>
        <sz val="11"/>
        <color indexed="8"/>
        <rFont val="Times New Roman CE"/>
        <family val="1"/>
        <charset val="238"/>
      </rPr>
      <t>3</t>
    </r>
    <r>
      <rPr>
        <sz val="11"/>
        <color indexed="8"/>
        <rFont val="Times New Roman CE"/>
        <charset val="238"/>
      </rPr>
      <t>5,0</t>
    </r>
    <r>
      <rPr>
        <sz val="11"/>
        <color indexed="8"/>
        <rFont val="Times New Roman CE"/>
        <family val="1"/>
        <charset val="238"/>
      </rPr>
      <t>0)</t>
    </r>
  </si>
  <si>
    <r>
      <t>- pijesak (m</t>
    </r>
    <r>
      <rPr>
        <vertAlign val="superscript"/>
        <sz val="11"/>
        <color indexed="8"/>
        <rFont val="Times New Roman CE"/>
        <family val="1"/>
        <charset val="238"/>
      </rPr>
      <t>3</t>
    </r>
    <r>
      <rPr>
        <sz val="11"/>
        <color indexed="8"/>
        <rFont val="Times New Roman CE"/>
        <charset val="238"/>
      </rPr>
      <t>2,50</t>
    </r>
    <r>
      <rPr>
        <sz val="11"/>
        <color indexed="8"/>
        <rFont val="Times New Roman CE"/>
        <family val="1"/>
        <charset val="238"/>
      </rPr>
      <t>)</t>
    </r>
  </si>
  <si>
    <r>
      <t>- zatrpavanje (m</t>
    </r>
    <r>
      <rPr>
        <vertAlign val="superscript"/>
        <sz val="11"/>
        <color indexed="8"/>
        <rFont val="Times New Roman CE"/>
        <family val="1"/>
        <charset val="238"/>
      </rPr>
      <t>3</t>
    </r>
    <r>
      <rPr>
        <sz val="11"/>
        <color indexed="8"/>
        <rFont val="Times New Roman CE"/>
        <family val="1"/>
        <charset val="238"/>
      </rPr>
      <t>2,50)</t>
    </r>
  </si>
  <si>
    <r>
      <rPr>
        <b/>
        <sz val="11"/>
        <color indexed="8"/>
        <rFont val="Times New Roman CE"/>
        <charset val="238"/>
      </rPr>
      <t xml:space="preserve">Okna moraju imati zatvoren ulaz. Izlaz mora biti predviđen za priključak cijevi </t>
    </r>
    <r>
      <rPr>
        <b/>
        <sz val="11"/>
        <color indexed="8"/>
        <rFont val="Times New Roman CE"/>
        <family val="1"/>
        <charset val="238"/>
      </rPr>
      <t xml:space="preserve">profila  </t>
    </r>
    <r>
      <rPr>
        <b/>
        <sz val="11"/>
        <color indexed="8"/>
        <rFont val="Symbol"/>
        <family val="1"/>
        <charset val="2"/>
      </rPr>
      <t>f</t>
    </r>
    <r>
      <rPr>
        <b/>
        <sz val="11"/>
        <color indexed="8"/>
        <rFont val="Times New Roman CE"/>
        <family val="1"/>
        <charset val="238"/>
      </rPr>
      <t xml:space="preserve"> 200 mm, </t>
    </r>
    <r>
      <rPr>
        <b/>
        <sz val="11"/>
        <color indexed="8"/>
        <rFont val="Symbol"/>
        <family val="1"/>
        <charset val="2"/>
      </rPr>
      <t>f</t>
    </r>
    <r>
      <rPr>
        <b/>
        <sz val="11"/>
        <color indexed="8"/>
        <rFont val="Times New Roman CE"/>
        <family val="1"/>
        <charset val="238"/>
      </rPr>
      <t xml:space="preserve"> 250 i </t>
    </r>
    <r>
      <rPr>
        <b/>
        <sz val="11"/>
        <color indexed="8"/>
        <rFont val="Symbol"/>
        <family val="1"/>
        <charset val="2"/>
      </rPr>
      <t>f</t>
    </r>
    <r>
      <rPr>
        <b/>
        <sz val="11"/>
        <color indexed="8"/>
        <rFont val="Times New Roman CE"/>
        <family val="1"/>
        <charset val="238"/>
      </rPr>
      <t xml:space="preserve"> 315. </t>
    </r>
    <r>
      <rPr>
        <sz val="11"/>
        <color indexed="8"/>
        <rFont val="Times New Roman CE"/>
        <family val="1"/>
        <charset val="238"/>
      </rPr>
      <t xml:space="preserve">Na licu mjesta se krunskom glavom buši potreban ulaz odnosno odsijeca izlaz na potrebni profil za odgovarajuću vrstu cijevi što je uključeno u cijenu stavke. </t>
    </r>
  </si>
  <si>
    <r>
      <t xml:space="preserve">-  Donjeg dijela "baze" s kinetom koja ima jedan ulaz i jedan izlaz (1/1 - prolazno okno). </t>
    </r>
    <r>
      <rPr>
        <sz val="11"/>
        <color indexed="8"/>
        <rFont val="Times New Roman"/>
        <family val="1"/>
      </rPr>
      <t>Horizontalni lomovi riješeni su lukovima prema specifikaciji i situaciji. Ulazni otvor za spajanje kanalizacijskih cijevi na okno buši se na licu mjesta krunskim svrdlom, a kutevi ulaza se definiraju prije narudžbe i izvode se pomoću lukova.</t>
    </r>
    <r>
      <rPr>
        <sz val="11"/>
        <color indexed="8"/>
        <rFont val="Times New Roman"/>
        <family val="1"/>
        <charset val="238"/>
      </rPr>
      <t xml:space="preserve"> Visina donjeg dijela "baze" mora biti minimalno </t>
    </r>
    <r>
      <rPr>
        <sz val="11"/>
        <color indexed="8"/>
        <rFont val="Times New Roman"/>
        <family val="1"/>
      </rPr>
      <t>1,00 m što je za okna visine do 1,00 m ujedno i gotova visina okna odnosno koliko je dimenzija najvećeg mogućeg priključka na bazu okna. Prema specifikaciji priključke u dnu izvesti tvornički navareno u kinetu okna.</t>
    </r>
    <r>
      <rPr>
        <sz val="11"/>
        <color indexed="8"/>
        <rFont val="Times New Roman"/>
        <family val="1"/>
        <charset val="238"/>
      </rPr>
      <t xml:space="preserve"> Nakon bušenja na gradilištu odgovarajućeg ulaznog otvora ugrađuje se brtva. </t>
    </r>
  </si>
  <si>
    <r>
      <t xml:space="preserve">- Svi priključni kolektori i kućni priključci koji se spajaju </t>
    </r>
    <r>
      <rPr>
        <i/>
        <sz val="11"/>
        <color indexed="8"/>
        <rFont val="Times New Roman"/>
        <family val="1"/>
        <charset val="238"/>
      </rPr>
      <t>u dno okna</t>
    </r>
    <r>
      <rPr>
        <sz val="11"/>
        <color indexed="8"/>
        <rFont val="Times New Roman"/>
        <family val="1"/>
        <charset val="238"/>
      </rPr>
      <t xml:space="preserve"> moraju biti tvornički izvedeni (navareni) u kineti okna.</t>
    </r>
  </si>
  <si>
    <r>
      <t xml:space="preserve">f </t>
    </r>
    <r>
      <rPr>
        <b/>
        <sz val="11"/>
        <color indexed="8"/>
        <rFont val="Times New Roman CE"/>
        <family val="1"/>
        <charset val="238"/>
      </rPr>
      <t>600 mm - nosivosti 250 kN</t>
    </r>
  </si>
  <si>
    <r>
      <t xml:space="preserve">Predviđeno je da se od novog kolektora do parcele iskopa kanal širine 60 cm i dubine 0,8 m - </t>
    </r>
    <r>
      <rPr>
        <sz val="11"/>
        <color indexed="8"/>
        <rFont val="Times New Roman CE"/>
        <charset val="238"/>
      </rPr>
      <t xml:space="preserve">1,20 m (od kote terena),  položi cijev unutarnjeg profila </t>
    </r>
    <r>
      <rPr>
        <sz val="11"/>
        <color indexed="8"/>
        <rFont val="Symbol"/>
        <family val="1"/>
        <charset val="2"/>
      </rPr>
      <t>f</t>
    </r>
    <r>
      <rPr>
        <sz val="11"/>
        <color indexed="8"/>
        <rFont val="Times New Roman CE"/>
        <charset val="238"/>
      </rPr>
      <t xml:space="preserve"> 160 mm dužine 5,0 m.</t>
    </r>
  </si>
  <si>
    <r>
      <t xml:space="preserve">Doprema s odlagališta gradilišta,  spuštanje u rov, te kompletna montaža cijevi unutarnjeg profila </t>
    </r>
    <r>
      <rPr>
        <sz val="11"/>
        <color indexed="8"/>
        <rFont val="Symbol"/>
        <family val="1"/>
        <charset val="2"/>
      </rPr>
      <t>f</t>
    </r>
    <r>
      <rPr>
        <sz val="11"/>
        <color indexed="8"/>
        <rFont val="Times New Roman CE"/>
        <family val="1"/>
        <charset val="238"/>
      </rPr>
      <t xml:space="preserve"> 160 mm dužine 5,0 m.</t>
    </r>
  </si>
  <si>
    <r>
      <t xml:space="preserve">- kompletna montaža cijevi unutarnjeg profila </t>
    </r>
    <r>
      <rPr>
        <sz val="11"/>
        <color indexed="8"/>
        <rFont val="Symbol"/>
        <family val="1"/>
        <charset val="2"/>
      </rPr>
      <t>f</t>
    </r>
    <r>
      <rPr>
        <sz val="11"/>
        <color indexed="8"/>
        <rFont val="Times New Roman CE"/>
        <family val="1"/>
        <charset val="238"/>
      </rPr>
      <t xml:space="preserve"> 160 mm</t>
    </r>
  </si>
  <si>
    <r>
      <t xml:space="preserve">- bušenje otvora </t>
    </r>
    <r>
      <rPr>
        <sz val="11"/>
        <color indexed="8"/>
        <rFont val="Symbol"/>
        <family val="1"/>
        <charset val="2"/>
      </rPr>
      <t>f</t>
    </r>
    <r>
      <rPr>
        <sz val="11"/>
        <color indexed="8"/>
        <rFont val="Times New Roman"/>
        <family val="1"/>
        <charset val="238"/>
      </rPr>
      <t xml:space="preserve"> 160 mm</t>
    </r>
    <r>
      <rPr>
        <sz val="11"/>
        <color indexed="8"/>
        <rFont val="Times New Roman CE"/>
        <family val="1"/>
        <charset val="238"/>
      </rPr>
      <t xml:space="preserve"> na PE oknu (ako priključak nije tvornički izveden)</t>
    </r>
  </si>
  <si>
    <r>
      <t xml:space="preserve">- montaža spojnice </t>
    </r>
    <r>
      <rPr>
        <sz val="11"/>
        <color indexed="8"/>
        <rFont val="Symbol"/>
        <family val="1"/>
        <charset val="2"/>
      </rPr>
      <t>f</t>
    </r>
    <r>
      <rPr>
        <sz val="11"/>
        <color indexed="8"/>
        <rFont val="Times New Roman CE"/>
        <family val="1"/>
        <charset val="238"/>
      </rPr>
      <t xml:space="preserve"> 160 mm </t>
    </r>
  </si>
  <si>
    <r>
      <t>- ručni iskop (m</t>
    </r>
    <r>
      <rPr>
        <vertAlign val="superscript"/>
        <sz val="11"/>
        <color indexed="8"/>
        <rFont val="Times New Roman CE"/>
        <family val="1"/>
        <charset val="238"/>
      </rPr>
      <t>3</t>
    </r>
    <r>
      <rPr>
        <sz val="11"/>
        <color indexed="8"/>
        <rFont val="Times New Roman CE"/>
        <charset val="238"/>
      </rPr>
      <t>5,0</t>
    </r>
    <r>
      <rPr>
        <sz val="11"/>
        <color indexed="8"/>
        <rFont val="Times New Roman CE"/>
        <family val="1"/>
        <charset val="238"/>
      </rPr>
      <t>)</t>
    </r>
  </si>
  <si>
    <r>
      <t>- zarezivanje i razbijanje asfalta (m</t>
    </r>
    <r>
      <rPr>
        <vertAlign val="superscript"/>
        <sz val="11"/>
        <color indexed="8"/>
        <rFont val="Times New Roman CE"/>
        <family val="1"/>
        <charset val="238"/>
      </rPr>
      <t xml:space="preserve">2 </t>
    </r>
    <r>
      <rPr>
        <sz val="11"/>
        <color indexed="8"/>
        <rFont val="Times New Roman CE"/>
        <charset val="238"/>
      </rPr>
      <t>6</t>
    </r>
    <r>
      <rPr>
        <sz val="11"/>
        <color indexed="8"/>
        <rFont val="Times New Roman CE"/>
        <family val="1"/>
        <charset val="238"/>
      </rPr>
      <t>,0)- po potrebi</t>
    </r>
  </si>
  <si>
    <r>
      <t>- odvoz (m</t>
    </r>
    <r>
      <rPr>
        <vertAlign val="superscript"/>
        <sz val="11"/>
        <color indexed="8"/>
        <rFont val="Times New Roman CE"/>
        <family val="1"/>
        <charset val="238"/>
      </rPr>
      <t>3</t>
    </r>
    <r>
      <rPr>
        <sz val="11"/>
        <color indexed="8"/>
        <rFont val="Times New Roman CE"/>
        <charset val="238"/>
      </rPr>
      <t>2,5</t>
    </r>
    <r>
      <rPr>
        <sz val="11"/>
        <color indexed="8"/>
        <rFont val="Times New Roman CE"/>
        <family val="1"/>
        <charset val="238"/>
      </rPr>
      <t>0)</t>
    </r>
  </si>
  <si>
    <r>
      <t>- zarezivanje i razbijanje asfalta (m</t>
    </r>
    <r>
      <rPr>
        <vertAlign val="superscript"/>
        <sz val="11"/>
        <color indexed="8"/>
        <rFont val="Times New Roman CE"/>
        <family val="1"/>
        <charset val="238"/>
      </rPr>
      <t xml:space="preserve">2 </t>
    </r>
    <r>
      <rPr>
        <sz val="11"/>
        <color indexed="8"/>
        <rFont val="Times New Roman CE"/>
        <family val="1"/>
        <charset val="238"/>
      </rPr>
      <t>12,0)- po potrebi</t>
    </r>
  </si>
  <si>
    <r>
      <t>-ručni iskop (m</t>
    </r>
    <r>
      <rPr>
        <vertAlign val="superscript"/>
        <sz val="11"/>
        <color indexed="8"/>
        <rFont val="Times New Roman CE"/>
        <family val="1"/>
        <charset val="238"/>
      </rPr>
      <t>3</t>
    </r>
    <r>
      <rPr>
        <sz val="11"/>
        <color indexed="8"/>
        <rFont val="Times New Roman CE"/>
        <charset val="238"/>
      </rPr>
      <t>10</t>
    </r>
    <r>
      <rPr>
        <sz val="11"/>
        <color indexed="8"/>
        <rFont val="Times New Roman CE"/>
        <family val="1"/>
        <charset val="238"/>
      </rPr>
      <t>,0)</t>
    </r>
  </si>
  <si>
    <r>
      <t>-odvoz (m</t>
    </r>
    <r>
      <rPr>
        <vertAlign val="superscript"/>
        <sz val="11"/>
        <color indexed="8"/>
        <rFont val="Times New Roman CE"/>
        <family val="1"/>
        <charset val="238"/>
      </rPr>
      <t>3</t>
    </r>
    <r>
      <rPr>
        <sz val="11"/>
        <color indexed="8"/>
        <rFont val="Times New Roman CE"/>
        <charset val="238"/>
      </rPr>
      <t>5,0</t>
    </r>
    <r>
      <rPr>
        <sz val="11"/>
        <color indexed="8"/>
        <rFont val="Times New Roman CE"/>
        <family val="1"/>
        <charset val="238"/>
      </rPr>
      <t>0)</t>
    </r>
  </si>
  <si>
    <t xml:space="preserve">Jedinična cijena stavke uključuje sav potreban rad, materijal i transporte za kompletnu izvedbu stavke (ugradnja spojnica i fazonskih komada, po potrebi). </t>
  </si>
  <si>
    <t xml:space="preserve">Jedinična cijena stavke uključuje sav potreban rad, materijal i transporte za kompletnu izvedbu stavke (izrada ulaza i izlaza, bušenje odgovarajućim krunskim svrdlom, ugradnja brtvi i fazonskih komada). </t>
  </si>
  <si>
    <t>Prethodno okna postaviti na betonsku posteljicu i poravnati u horizontalnom i vertikalnom smislu. Spajanje cijevi s oknima izvršiti prema upustvu proizvođača.</t>
  </si>
  <si>
    <t>Ispitivanje vrši akreditirani laboratorij osposobljen prema zahtjevima norme HRN EN ISO/IEC 17025:2000 “V” postupkom (ispitivanje vodom) prema normi za Polaganje i ispitivanje kanalizacijskih cjevovoda (HRN EN 1610). Ako cjevovod ne zadovoljava ispitne zahtjeve Izvođač je dužan sanirati cjevovod te ponoviti ispitivanje. Sva višekratna ispitivanja neće se posebno obračunavati, već svako drugo i daljnje ispitivanje ide na teret Izvoditelja radova.</t>
  </si>
  <si>
    <t>U cijenu stavke uračunata izrada izvješća o provedenom ispitivanju odnosno o dobivenom vodonepropusnom sustavu ovjerena od laboratorija koji je akreditiran za provedbu ispitivanja..</t>
  </si>
  <si>
    <t xml:space="preserve">Izvedba križanja  s elektroinstalacijama na trasi projektiranih kolektora pa ih je potrebno zaštititi ili po potrebi preložiti.  Kabele elektroinstalacija potrebno je preložiti u suradnji s nadležnim institucijama ako se nađu na trasi kanalizacije. Prelaganje/križanje pretpostavlja iskop u dužini cca 3,0 m s jedne i druge strane od križanja, zaštita  kabela zaštitnim cijevima i zatrpavanje do vrha rova, ugradnja upozoravanjuće trake i sve što čini postojeću instalaciju. Sva eventualna oštećenja zbog neprimjenjene zaštite i nestručnog rada past će na teret izvoditelja radova. Jedinična cijena stavke uključuje sav potreban rad, materijal i transporte za kompletnu izvedbu stavke. </t>
  </si>
  <si>
    <t xml:space="preserve">Izvedba križanja  s TK instalacijama ako se nađu na trasi - niveleti kanalizacije pa ih je potrebno preložiti u suradnji s nadležnim institucijama. Prelaganje pretpostavlja iskop u dužini cca 3,0 m s jedne i druge strane od križanja, zaštita instalacije finim pijeskom i zatrpavanje do vrha rova, ugradnja upozoravanjuće trake i sve što čini postojeću instalaciju. Sva eventualna oštećenja zbog neprimjenjene zaštite i nestručnog rada past će na teret izvoditelja radova. Jedinična cijena stavke uključuje sav potreban rad, materijal i transporte za kompletnu izvedbu stavke. </t>
  </si>
  <si>
    <t>- Kod kaskadnih okana spajanje kanalizacijskih cijevi se vrši na terenu bušenjem tijela okna krunskim svrdlom i umetanjem brve za spoj cijevi na PE okno.</t>
  </si>
  <si>
    <t>-  Okno veličine DN 800 i 1000 mm ima i gornji konusni dio izlazne dimenzije DN 625, iznad kojeg se ugrađuje ljevano-željezni okvir i poklopac nosivosti 250 kN prema detalju proizvođača okana. Konusni dio okna mora imati mogućnost smanjivanja visine na gradilištu do 250 mm.</t>
  </si>
  <si>
    <r>
      <t>DN 625 mm</t>
    </r>
    <r>
      <rPr>
        <sz val="11"/>
        <color indexed="8"/>
        <rFont val="Times New Roman"/>
        <family val="1"/>
        <charset val="238"/>
      </rPr>
      <t>, dno1/1 - s tvornički navarenim priključkom ø250 mm u dno, h = 1,25 m</t>
    </r>
  </si>
  <si>
    <r>
      <t>DN 1000 mm</t>
    </r>
    <r>
      <rPr>
        <sz val="11"/>
        <color indexed="8"/>
        <rFont val="Times New Roman"/>
        <family val="1"/>
        <charset val="238"/>
      </rPr>
      <t>, dno1/1, h = 3,50 m</t>
    </r>
  </si>
  <si>
    <t xml:space="preserve">Dobava, doprema na odlagalište gradilišta i istovar spojnica DN 160 mm za spajanje cijevi koje su skraćene i nemaju original naglavak i za montažu čepova za privremeno zatvaranje cijevi kućnih priključaka. </t>
  </si>
  <si>
    <r>
      <rPr>
        <b/>
        <sz val="11"/>
        <color indexed="8"/>
        <rFont val="Symbol"/>
        <family val="1"/>
        <charset val="2"/>
      </rPr>
      <t>f</t>
    </r>
    <r>
      <rPr>
        <b/>
        <sz val="11"/>
        <color indexed="8"/>
        <rFont val="Times New Roman CE"/>
        <family val="1"/>
        <charset val="238"/>
      </rPr>
      <t xml:space="preserve"> 250 mm</t>
    </r>
  </si>
  <si>
    <t>ø 250 mm</t>
  </si>
  <si>
    <r>
      <t xml:space="preserve">Ispiranje canal-jetom izgrađenih cjevovoda profila </t>
    </r>
    <r>
      <rPr>
        <sz val="11"/>
        <color indexed="8"/>
        <rFont val="Times New Roman"/>
        <family val="1"/>
        <charset val="238"/>
      </rPr>
      <t xml:space="preserve">ø 250 i ø 315 mm, zajedno s oknima. </t>
    </r>
  </si>
  <si>
    <t>KOLEKTOR K-1:</t>
  </si>
  <si>
    <t>KOLEKTOR K-2:</t>
  </si>
  <si>
    <t>18</t>
  </si>
  <si>
    <r>
      <t>DN 625 mm</t>
    </r>
    <r>
      <rPr>
        <sz val="11"/>
        <color indexed="8"/>
        <rFont val="Times New Roman"/>
        <family val="1"/>
        <charset val="238"/>
      </rPr>
      <t>, dno1/1, h = 1,00 m</t>
    </r>
  </si>
  <si>
    <r>
      <t>DN 625 mm</t>
    </r>
    <r>
      <rPr>
        <sz val="11"/>
        <color indexed="8"/>
        <rFont val="Times New Roman"/>
        <family val="1"/>
        <charset val="238"/>
      </rPr>
      <t>, dno1/1 - s tvornički navarenim priključkom ø200 mm u dno, h = 1,25 m</t>
    </r>
  </si>
  <si>
    <r>
      <t>DN 800 mm</t>
    </r>
    <r>
      <rPr>
        <sz val="11"/>
        <color indexed="8"/>
        <rFont val="Times New Roman"/>
        <family val="1"/>
        <charset val="238"/>
      </rPr>
      <t>, dno1/1, h = 2,00 m</t>
    </r>
  </si>
  <si>
    <r>
      <t>DN 800 mm</t>
    </r>
    <r>
      <rPr>
        <sz val="11"/>
        <color indexed="8"/>
        <rFont val="Times New Roman"/>
        <family val="1"/>
        <charset val="238"/>
      </rPr>
      <t>, dno1/1 - s dva tvornički navarena priključka ø200 mm u dno, h = 2,25 m</t>
    </r>
  </si>
  <si>
    <r>
      <t>DN 625 mm</t>
    </r>
    <r>
      <rPr>
        <sz val="11"/>
        <color indexed="8"/>
        <rFont val="Times New Roman"/>
        <family val="1"/>
        <charset val="238"/>
      </rPr>
      <t>, dno1/1 - s tvornički navarenim priključkom ø250 mm u dno, h = 1,50 m</t>
    </r>
  </si>
  <si>
    <t>4</t>
  </si>
  <si>
    <r>
      <t>DN 1000 mm</t>
    </r>
    <r>
      <rPr>
        <sz val="11"/>
        <color indexed="8"/>
        <rFont val="Times New Roman"/>
        <family val="1"/>
        <charset val="238"/>
      </rPr>
      <t>, dno1/1 - s tvornički navarenim priključkom ø250 mm u dno, h = 3,75 m</t>
    </r>
  </si>
  <si>
    <r>
      <t>DN 1000 mm</t>
    </r>
    <r>
      <rPr>
        <sz val="11"/>
        <color indexed="8"/>
        <rFont val="Times New Roman"/>
        <family val="1"/>
        <charset val="238"/>
      </rPr>
      <t>, dno1/1, h = 5,25 m</t>
    </r>
  </si>
  <si>
    <t>17</t>
  </si>
  <si>
    <r>
      <t>ø</t>
    </r>
    <r>
      <rPr>
        <b/>
        <sz val="11"/>
        <color indexed="8"/>
        <rFont val="Times New Roman CE"/>
        <family val="1"/>
        <charset val="238"/>
      </rPr>
      <t xml:space="preserve"> 250 mm</t>
    </r>
  </si>
  <si>
    <t>29</t>
  </si>
  <si>
    <r>
      <t>ø</t>
    </r>
    <r>
      <rPr>
        <b/>
        <sz val="8.25"/>
        <color indexed="8"/>
        <rFont val="Times New Roman CE"/>
        <family val="1"/>
        <charset val="238"/>
      </rPr>
      <t xml:space="preserve"> </t>
    </r>
    <r>
      <rPr>
        <b/>
        <sz val="11"/>
        <color indexed="8"/>
        <rFont val="Times New Roman CE"/>
        <family val="1"/>
        <charset val="238"/>
      </rPr>
      <t>250 mm</t>
    </r>
  </si>
  <si>
    <r>
      <t xml:space="preserve">Dobava i doprema na odlagalište gradilišta lijevano-željeznih kanalskih poklopaca </t>
    </r>
    <r>
      <rPr>
        <sz val="11"/>
        <color indexed="8"/>
        <rFont val="Symbol"/>
        <family val="1"/>
        <charset val="2"/>
      </rPr>
      <t>f</t>
    </r>
    <r>
      <rPr>
        <sz val="11"/>
        <color indexed="8"/>
        <rFont val="Times New Roman CE"/>
        <family val="1"/>
        <charset val="238"/>
      </rPr>
      <t xml:space="preserve">600 mm sa okruglim okvirom, nosivosti 250 i 125 kN. Poklopci se ugrađuju u betonski vijenac. </t>
    </r>
  </si>
  <si>
    <r>
      <t xml:space="preserve">f </t>
    </r>
    <r>
      <rPr>
        <b/>
        <sz val="11"/>
        <color indexed="8"/>
        <rFont val="Times New Roman CE"/>
        <family val="1"/>
        <charset val="238"/>
      </rPr>
      <t>600 mm - nosivosti 125 kN</t>
    </r>
  </si>
  <si>
    <r>
      <t xml:space="preserve">Završno ispitivanje izgrađene kanalizacije na vodonepropusnost profila </t>
    </r>
    <r>
      <rPr>
        <sz val="11"/>
        <color indexed="8"/>
        <rFont val="Times New Roman"/>
        <family val="1"/>
        <charset val="238"/>
      </rPr>
      <t>ø 250 i 315 mm</t>
    </r>
    <r>
      <rPr>
        <sz val="11"/>
        <color indexed="8"/>
        <rFont val="Times New Roman CE"/>
        <charset val="238"/>
      </rPr>
      <t xml:space="preserve">, zajedno sa kontrolnim oknima. Jedinična cijena stavke uključuje sav potreban rad, materijal i pomoćna sredstva za izvedbu opisanog rada. </t>
    </r>
  </si>
  <si>
    <t>8</t>
  </si>
  <si>
    <t>10</t>
  </si>
  <si>
    <t>U cijenu stavke obuhvaćeni su svi potrebni radovi, materijali, pomoćna sredstva i transporti za izvedbu.</t>
  </si>
  <si>
    <r>
      <t>Obračun po m</t>
    </r>
    <r>
      <rPr>
        <vertAlign val="superscript"/>
        <sz val="11"/>
        <color indexed="8"/>
        <rFont val="Times New Roman CE"/>
        <charset val="238"/>
      </rPr>
      <t>2</t>
    </r>
    <r>
      <rPr>
        <sz val="11"/>
        <color indexed="8"/>
        <rFont val="Times New Roman CE"/>
        <charset val="238"/>
      </rPr>
      <t xml:space="preserve"> krčenja.</t>
    </r>
  </si>
  <si>
    <t>- krčenje</t>
  </si>
  <si>
    <t>- nisko raslinje</t>
  </si>
  <si>
    <r>
      <t>m</t>
    </r>
    <r>
      <rPr>
        <vertAlign val="superscript"/>
        <sz val="11"/>
        <color indexed="8"/>
        <rFont val="Times New Roman CE"/>
        <charset val="238"/>
      </rPr>
      <t>2</t>
    </r>
  </si>
  <si>
    <t>- stabla do ø 15 cm</t>
  </si>
  <si>
    <t>6</t>
  </si>
  <si>
    <t>ISKOP MATERIJALA</t>
  </si>
  <si>
    <t>DOBAVA I DOPREMA CIJEVI</t>
  </si>
  <si>
    <t>UGRADNJA CIJEVI</t>
  </si>
  <si>
    <r>
      <t>betonska cijev</t>
    </r>
    <r>
      <rPr>
        <sz val="11"/>
        <color indexed="8"/>
        <rFont val="Symbol"/>
        <family val="1"/>
        <charset val="2"/>
      </rPr>
      <t xml:space="preserve"> f </t>
    </r>
    <r>
      <rPr>
        <sz val="11"/>
        <color indexed="8"/>
        <rFont val="Times New Roman"/>
        <family val="1"/>
        <charset val="238"/>
      </rPr>
      <t>600 mm</t>
    </r>
  </si>
  <si>
    <t>Asfaltiranje i zatrpavanje uračunato je u zemljanim radovima.</t>
  </si>
  <si>
    <t>ODVOZ MATERIJALA</t>
  </si>
  <si>
    <r>
      <t>Obračun po m</t>
    </r>
    <r>
      <rPr>
        <vertAlign val="superscript"/>
        <sz val="11"/>
        <color indexed="8"/>
        <rFont val="Times New Roman"/>
        <family val="1"/>
        <charset val="238"/>
      </rPr>
      <t>3</t>
    </r>
    <r>
      <rPr>
        <sz val="11"/>
        <color indexed="8"/>
        <rFont val="Times New Roman"/>
        <family val="1"/>
        <charset val="238"/>
      </rPr>
      <t xml:space="preserve"> i m' materijala.</t>
    </r>
  </si>
  <si>
    <r>
      <t>DN 625 mm</t>
    </r>
    <r>
      <rPr>
        <sz val="11"/>
        <color indexed="8"/>
        <rFont val="Times New Roman"/>
        <family val="1"/>
        <charset val="238"/>
      </rPr>
      <t>, dno1/1 - s tvornički navarenim priključkom ø250 mm u dno, h = 1,00 m</t>
    </r>
  </si>
  <si>
    <r>
      <t>DN 625 mm</t>
    </r>
    <r>
      <rPr>
        <sz val="11"/>
        <color indexed="8"/>
        <rFont val="Times New Roman"/>
        <family val="1"/>
        <charset val="238"/>
      </rPr>
      <t>, dno1/1 - s tvornički navarenim priključkom ø160 i ø250 mm u dno, h = 1,25 m</t>
    </r>
  </si>
  <si>
    <r>
      <t>DN 800 mm</t>
    </r>
    <r>
      <rPr>
        <sz val="11"/>
        <color indexed="8"/>
        <rFont val="Times New Roman"/>
        <family val="1"/>
        <charset val="238"/>
      </rPr>
      <t>, dno1/1 - s tvornički navarenim priključkom ø250 mm u dno, h = 2,00 m</t>
    </r>
  </si>
  <si>
    <r>
      <t>DN 1000 mm</t>
    </r>
    <r>
      <rPr>
        <sz val="11"/>
        <color indexed="8"/>
        <rFont val="Times New Roman"/>
        <family val="1"/>
        <charset val="238"/>
      </rPr>
      <t>, dno1/1 - s tvornički navarenim priključkom ø315 mm u dno, h = 4,75 m</t>
    </r>
  </si>
  <si>
    <r>
      <t>DN 1000 mm</t>
    </r>
    <r>
      <rPr>
        <sz val="11"/>
        <color indexed="8"/>
        <rFont val="Times New Roman"/>
        <family val="1"/>
        <charset val="238"/>
      </rPr>
      <t>, dno1/1, s tvornički navarenim priključkom ø315 mm u dno, h = 4,25 m</t>
    </r>
  </si>
  <si>
    <t>DN 200 mm</t>
  </si>
  <si>
    <t>Cijevi za spajanje kućnih priključaka su specificirane u stavci E1/3.</t>
  </si>
  <si>
    <r>
      <t xml:space="preserve">Doprema s odlagališta i montaža lijevano-željeznih poklopaca </t>
    </r>
    <r>
      <rPr>
        <sz val="11"/>
        <color indexed="8"/>
        <rFont val="Symbol"/>
        <family val="1"/>
        <charset val="2"/>
      </rPr>
      <t>f</t>
    </r>
    <r>
      <rPr>
        <sz val="11"/>
        <color indexed="8"/>
        <rFont val="Times New Roman CE"/>
        <family val="1"/>
        <charset val="238"/>
      </rPr>
      <t xml:space="preserve"> 600 mm s okvirom nosivosti 125 kN direktno na PE okno.</t>
    </r>
  </si>
  <si>
    <t>Obračun po komadu ugrađenog okvira s poklopcom.</t>
  </si>
  <si>
    <t>5.1.</t>
  </si>
  <si>
    <t>5.2.</t>
  </si>
  <si>
    <t>UGRADNJA BETONA (BETONSKE POSTELJICE)</t>
  </si>
  <si>
    <r>
      <rPr>
        <b/>
        <sz val="11"/>
        <color indexed="8"/>
        <rFont val="Times New Roman"/>
        <family val="1"/>
        <charset val="238"/>
      </rPr>
      <t xml:space="preserve">RADOVI NA PRELAGANJU POSTOJEĆEG OBORINSKOG PROPUSTA: </t>
    </r>
    <r>
      <rPr>
        <sz val="11"/>
        <color indexed="8"/>
        <rFont val="Times New Roman"/>
        <family val="1"/>
        <charset val="238"/>
      </rPr>
      <t>Rekonstrukcija oborinskog propusta radi prolaska kanalizacijske cijevi na istoj niveleti. Oborinski propust će se produbiti za 70 cm. Propust će se izvesti od betonske cijevi (pojedinačna duljina cijevi je 1,0 m) čija posteljica se izvodi od svježeg betona do polovice visine cijevi. U cijenu stavke uključeno razbijanje postojećeg oborinskog propusta.  Jedinična cijena stavke uključuje sav potreban rad, materijal, pomoćna sredstva i transporte za izvedbu stavke.</t>
    </r>
  </si>
  <si>
    <t>c)</t>
  </si>
  <si>
    <t>d)</t>
  </si>
  <si>
    <t>e)</t>
  </si>
  <si>
    <t>kg</t>
  </si>
  <si>
    <r>
      <rPr>
        <b/>
        <sz val="11"/>
        <color indexed="8"/>
        <rFont val="Times New Roman"/>
        <family val="1"/>
        <charset val="238"/>
      </rPr>
      <t xml:space="preserve">PES DN 300 </t>
    </r>
    <r>
      <rPr>
        <sz val="11"/>
        <color indexed="8"/>
        <rFont val="Times New Roman"/>
        <family val="1"/>
        <charset val="238"/>
      </rPr>
      <t>- Kolektor K-1:</t>
    </r>
  </si>
  <si>
    <r>
      <t>DN 800 mm</t>
    </r>
    <r>
      <rPr>
        <sz val="11"/>
        <color indexed="8"/>
        <rFont val="Times New Roman"/>
        <family val="1"/>
        <charset val="238"/>
      </rPr>
      <t>, dno1/1, h = 2,50 m</t>
    </r>
  </si>
  <si>
    <r>
      <t>DN 1000 mm</t>
    </r>
    <r>
      <rPr>
        <sz val="11"/>
        <color indexed="8"/>
        <rFont val="Times New Roman"/>
        <family val="1"/>
        <charset val="238"/>
      </rPr>
      <t>, dno1/1, h = 5,00 m</t>
    </r>
  </si>
  <si>
    <t>Dobava, doprema na odlagalište gradilišta i istovar ulazne brtve DN 300 mm za izvedbu kaskade (RO3, RO10) i DN 200 mm za izvedbu kaskade (RO32, RO36), tj. za priključak ulazne odabrane cijevi na tijelo okna.</t>
  </si>
  <si>
    <t>DN 300 mm</t>
  </si>
  <si>
    <r>
      <rPr>
        <b/>
        <sz val="11"/>
        <color indexed="8"/>
        <rFont val="Times New Roman"/>
        <family val="1"/>
        <charset val="238"/>
      </rPr>
      <t>Lukovi/koljena</t>
    </r>
    <r>
      <rPr>
        <sz val="11"/>
        <color indexed="8"/>
        <rFont val="Times New Roman"/>
        <family val="1"/>
        <charset val="238"/>
      </rPr>
      <t xml:space="preserve">
Dobava, doprema na odlagalište gradilišta, istovar, fazonskih komada (lukova/koljena) od poliestera.
Jedinična cijena stavke uključuje sav potreban rad, materijal i transporte za kompletnu izvedbu stavke (ugradnja spojnica i fazonskih komada, po potrebi).</t>
    </r>
  </si>
  <si>
    <t>Obračun po komadu dobavljenog luka/koljena.</t>
  </si>
  <si>
    <r>
      <t xml:space="preserve">DN 300 </t>
    </r>
    <r>
      <rPr>
        <b/>
        <sz val="11"/>
        <color indexed="8"/>
        <rFont val="Times New Roman CE"/>
        <family val="1"/>
        <charset val="238"/>
      </rPr>
      <t>mm</t>
    </r>
  </si>
  <si>
    <t xml:space="preserve">Dobava, doprema na odlagalište gradilišta i istovar fazonskih komada (lukova) za odabranu cijev unutarnjeg profila ø 250  mm, tjemene nosivosti SN 8. Lukovi se montiraju na ulazu i izlazu okna te na kolektoru radi savladavanja horizontalnih lomova. U cijenu stavke uključen je sav spojni i brtveni materijal.  </t>
  </si>
  <si>
    <r>
      <t xml:space="preserve">Dobava, doprema na odlagalište gradilišta i istovar spojnica </t>
    </r>
    <r>
      <rPr>
        <b/>
        <sz val="11"/>
        <color indexed="8"/>
        <rFont val="Times New Roman CE"/>
        <charset val="238"/>
      </rPr>
      <t>DN 250 mm</t>
    </r>
    <r>
      <rPr>
        <sz val="11"/>
        <color indexed="8"/>
        <rFont val="Times New Roman CE"/>
        <charset val="238"/>
      </rPr>
      <t xml:space="preserve"> za spajanje  cijevi koje su skraćene i nemaju original završetak. </t>
    </r>
  </si>
  <si>
    <r>
      <t xml:space="preserve">Doprema s odlagališta gradilišta, spuštanje u rov, te kompletna montaža poliesterskih cijevi profila </t>
    </r>
    <r>
      <rPr>
        <b/>
        <sz val="11"/>
        <color indexed="8"/>
        <rFont val="Times New Roman CE"/>
        <charset val="238"/>
      </rPr>
      <t>ø 300 mm</t>
    </r>
    <r>
      <rPr>
        <sz val="11"/>
        <color indexed="8"/>
        <rFont val="Times New Roman CE"/>
        <charset val="238"/>
      </rPr>
      <t xml:space="preserve">, tjemene nosivosti SN 8. U cijenu je uključena geodetska nivelacija cjevovoda i kontrola zatrpavanja od strane montera. </t>
    </r>
  </si>
  <si>
    <r>
      <t xml:space="preserve">Doprema s odlagališta gradilišta, spuštanje u rov, te kompletna montaža glatkih kanalizacijskih cijevi profila </t>
    </r>
    <r>
      <rPr>
        <b/>
        <sz val="11"/>
        <color indexed="8"/>
        <rFont val="Times New Roman CE"/>
        <charset val="238"/>
      </rPr>
      <t>ø 250 mm</t>
    </r>
    <r>
      <rPr>
        <sz val="11"/>
        <color indexed="8"/>
        <rFont val="Times New Roman CE"/>
        <charset val="238"/>
      </rPr>
      <t xml:space="preserve">, tjemene nosivosti SN 8. U cijenu je uključena geodetska nivelacija cjevovoda i kontrola zatrpavanja od strane montera. </t>
    </r>
  </si>
  <si>
    <t>L=586,0</t>
  </si>
  <si>
    <t>9</t>
  </si>
  <si>
    <t>ø 300 mm</t>
  </si>
  <si>
    <t>L=1930,0</t>
  </si>
  <si>
    <t>2.1.</t>
  </si>
  <si>
    <t>8.1.</t>
  </si>
  <si>
    <t>8.2.</t>
  </si>
  <si>
    <t>8.3.</t>
  </si>
  <si>
    <t>OZNAKA 
STAVKE</t>
  </si>
  <si>
    <t>OPIS STAVKE</t>
  </si>
  <si>
    <t>JEDIN. 
MJERA</t>
  </si>
  <si>
    <t>1.1.</t>
  </si>
  <si>
    <t>1.2.</t>
  </si>
  <si>
    <t>Izrada elaborata iskolčenja</t>
  </si>
  <si>
    <t>Projektna dokumentacija</t>
  </si>
  <si>
    <t>Pripremni radovi</t>
  </si>
  <si>
    <t>TEHNIČKA SPECIFIKACIJA
(KNJIGA 3)</t>
  </si>
  <si>
    <t>2.2.2.</t>
  </si>
  <si>
    <t>2.2.4.</t>
  </si>
  <si>
    <t>kom.</t>
  </si>
  <si>
    <t>m2</t>
  </si>
  <si>
    <t>3.1.</t>
  </si>
  <si>
    <t>m3</t>
  </si>
  <si>
    <t>Zemljani radovi</t>
  </si>
  <si>
    <r>
      <t xml:space="preserve">Dobava, doprema na odlagalište gradilišta i istovar modularnih okana </t>
    </r>
    <r>
      <rPr>
        <b/>
        <sz val="11"/>
        <color indexed="8"/>
        <rFont val="Times New Roman CE"/>
        <family val="1"/>
        <charset val="238"/>
      </rPr>
      <t>DN 1000 mm, DN 800 mm i DN 625 mm</t>
    </r>
    <r>
      <rPr>
        <sz val="11"/>
        <color indexed="8"/>
        <rFont val="Times New Roman CE"/>
        <family val="1"/>
        <charset val="238"/>
      </rPr>
      <t xml:space="preserve">  izrađenih od polietilena visoke gustoće PE80 obodne čvrstoće najmanje 2 kN/m</t>
    </r>
    <r>
      <rPr>
        <vertAlign val="superscript"/>
        <sz val="11"/>
        <color indexed="8"/>
        <rFont val="Times New Roman CE"/>
        <family val="1"/>
        <charset val="238"/>
      </rPr>
      <t>2</t>
    </r>
    <r>
      <rPr>
        <sz val="11"/>
        <color indexed="8"/>
        <rFont val="Times New Roman CE"/>
        <family val="1"/>
        <charset val="238"/>
      </rPr>
      <t xml:space="preserve"> prema  EN 13598-2.</t>
    </r>
  </si>
  <si>
    <t>Ručni iskop</t>
  </si>
  <si>
    <t>BILO POD ZEMLJANI RADOVI</t>
  </si>
  <si>
    <t>4.1.</t>
  </si>
  <si>
    <t>4.2.</t>
  </si>
  <si>
    <t>KOLEKTOR K-2.1:</t>
  </si>
  <si>
    <t>KOLEKTOR K-2.1.2:</t>
  </si>
  <si>
    <t>KOLEKTOR K-3:</t>
  </si>
  <si>
    <t>L = 42,00</t>
  </si>
  <si>
    <t>L = 26,00</t>
  </si>
  <si>
    <t>L = 23,00</t>
  </si>
  <si>
    <t>L = 32,00</t>
  </si>
  <si>
    <t>L = 65,00</t>
  </si>
  <si>
    <t>L = 75,00</t>
  </si>
  <si>
    <t>L = 48,00</t>
  </si>
  <si>
    <t>20</t>
  </si>
  <si>
    <t>Sječenje i krčenje niskog raslinja, grmlja, manjih stabala do ø 15 cm i većih stabala do ø 30 cm i do 40 cm sa vađenjem korijenja i panjeva, odlaganje izvan pojasa sječe, piljenje na veličinu potrebnu za odvoz  i odvoz na deponiju. Najveća dozvoljena širina pojasa sječe je 6,0 m i preko te širine pojasa nije dozvoljeno oštećenje rubnih stabala, a ako do toga i dođe štetu nadoknađuje izvoditelj radova.</t>
  </si>
  <si>
    <r>
      <t>60,00 x 6,0 = 360,00 m</t>
    </r>
    <r>
      <rPr>
        <vertAlign val="superscript"/>
        <sz val="11"/>
        <color indexed="8"/>
        <rFont val="Times New Roman CE"/>
        <charset val="238"/>
      </rPr>
      <t>2</t>
    </r>
  </si>
  <si>
    <t>- stabla do ø 30 cm</t>
  </si>
  <si>
    <t>- stabla do ø 40 cm</t>
  </si>
  <si>
    <t>KOLEKTOR K-2.2:</t>
  </si>
  <si>
    <t>KOLEKTOR K-4:</t>
  </si>
  <si>
    <t>KOLEKTOR K-5:</t>
  </si>
  <si>
    <t>KOLEKTOR K-6:</t>
  </si>
  <si>
    <t>KOLEKTOR K-7:</t>
  </si>
  <si>
    <t>PRIKLJUČAK 3:</t>
  </si>
  <si>
    <t>KOLEKTOR K-9:</t>
  </si>
  <si>
    <t>KOLEKTOR K-2.1.1:</t>
  </si>
  <si>
    <t>KOLEKTOR K-4.1:</t>
  </si>
  <si>
    <t>KOLEKTOR K-4.1.1:</t>
  </si>
  <si>
    <t>KOLEKTOR K-6.1:</t>
  </si>
  <si>
    <t>KOLEKTOR K-6.2:</t>
  </si>
  <si>
    <t>PRIKLJUČAK 1:</t>
  </si>
  <si>
    <t>PRIKLJUČAK 2:</t>
  </si>
  <si>
    <t>KOLEKTOR K-8:</t>
  </si>
  <si>
    <t>KOLEKTOR K-9.1:</t>
  </si>
  <si>
    <r>
      <rPr>
        <b/>
        <sz val="11"/>
        <color indexed="8"/>
        <rFont val="Symbol"/>
        <family val="1"/>
        <charset val="2"/>
      </rPr>
      <t>f</t>
    </r>
    <r>
      <rPr>
        <b/>
        <sz val="11"/>
        <color indexed="8"/>
        <rFont val="Times New Roman CE"/>
        <family val="1"/>
        <charset val="238"/>
      </rPr>
      <t xml:space="preserve"> 200 mm</t>
    </r>
  </si>
  <si>
    <t>76</t>
  </si>
  <si>
    <r>
      <t xml:space="preserve">Dobava, doprema na odlagalište gradilišta i istovar modularnih okana </t>
    </r>
    <r>
      <rPr>
        <b/>
        <sz val="11"/>
        <color indexed="8"/>
        <rFont val="Times New Roman CE"/>
        <charset val="238"/>
      </rPr>
      <t xml:space="preserve"> DN 800 mm i DN 625 mm</t>
    </r>
    <r>
      <rPr>
        <sz val="11"/>
        <color indexed="8"/>
        <rFont val="Times New Roman CE"/>
        <family val="1"/>
        <charset val="238"/>
      </rPr>
      <t xml:space="preserve">  izrađenih od polietilena visoke gustoće PE80 obodne čvrstoće najmanje 2 kN/m</t>
    </r>
    <r>
      <rPr>
        <vertAlign val="superscript"/>
        <sz val="11"/>
        <color indexed="8"/>
        <rFont val="Times New Roman CE"/>
        <family val="1"/>
        <charset val="238"/>
      </rPr>
      <t>2</t>
    </r>
    <r>
      <rPr>
        <sz val="11"/>
        <color indexed="8"/>
        <rFont val="Times New Roman CE"/>
        <family val="1"/>
        <charset val="238"/>
      </rPr>
      <t xml:space="preserve"> prema  EN 13598-2.</t>
    </r>
  </si>
  <si>
    <r>
      <t xml:space="preserve">-  Srednjeg glatkog valjkastog dijela varijabilne visine </t>
    </r>
    <r>
      <rPr>
        <sz val="11"/>
        <color indexed="8"/>
        <rFont val="Times New Roman"/>
        <family val="1"/>
      </rPr>
      <t>(za okna DN 625 ujedno i gornji dio)</t>
    </r>
    <r>
      <rPr>
        <sz val="11"/>
        <color indexed="8"/>
        <rFont val="Times New Roman"/>
        <family val="1"/>
        <charset val="238"/>
      </rPr>
      <t xml:space="preserve"> koji se sastoji od prstena visine 25 cm </t>
    </r>
    <r>
      <rPr>
        <sz val="11"/>
        <color indexed="8"/>
        <rFont val="Times New Roman"/>
        <family val="1"/>
      </rPr>
      <t xml:space="preserve">(za okna DN 625) odnosno prstenovima visine 50 cm i 75 cm (za okna DN 800) </t>
    </r>
    <r>
      <rPr>
        <sz val="11"/>
        <color indexed="8"/>
        <rFont val="Times New Roman"/>
        <family val="1"/>
        <charset val="238"/>
      </rPr>
      <t xml:space="preserve"> s brtvama za međusobno spajanje, koji se može bušiti radi izvedbe priključka "na licu mjesta". Priključak na okno se izvodi direktnim spojem cijevi i okna. Brtva spajanja cijevi i okna mora biti identična brtvi kojom se spaja  cijev u dnu okna.</t>
    </r>
  </si>
  <si>
    <r>
      <t>DN 800 mm</t>
    </r>
    <r>
      <rPr>
        <sz val="11"/>
        <color indexed="8"/>
        <rFont val="Times New Roman"/>
        <family val="1"/>
        <charset val="238"/>
      </rPr>
      <t>, dno1/1 - s tvornički navarenim priključkom ø200 mm u dno, h = 2,25 m</t>
    </r>
  </si>
  <si>
    <r>
      <t>DN 625 mm</t>
    </r>
    <r>
      <rPr>
        <sz val="11"/>
        <color indexed="8"/>
        <rFont val="Times New Roman"/>
        <family val="1"/>
        <charset val="238"/>
      </rPr>
      <t>, dno1/1 - s tvornički navarenim kućnim priključkom DN 160 mm u dno, h = 1,00 m</t>
    </r>
  </si>
  <si>
    <r>
      <t>DN 625 mm</t>
    </r>
    <r>
      <rPr>
        <sz val="11"/>
        <color indexed="8"/>
        <rFont val="Times New Roman"/>
        <family val="1"/>
        <charset val="238"/>
      </rPr>
      <t>, dno1/1 - s tvornički navarenim   dva kućna priključka DN 160 mm u dno i priključkom ø200 mm u dno , h = 1,00 m</t>
    </r>
  </si>
  <si>
    <r>
      <t>DN 625 mm</t>
    </r>
    <r>
      <rPr>
        <sz val="11"/>
        <color indexed="8"/>
        <rFont val="Times New Roman"/>
        <family val="1"/>
        <charset val="238"/>
      </rPr>
      <t>, dno1/1 - s tvornički navarenim kućnim priključkom DN 160 mm u dno, h = 1,25 m</t>
    </r>
  </si>
  <si>
    <t>16</t>
  </si>
  <si>
    <r>
      <t>DN 625 mm</t>
    </r>
    <r>
      <rPr>
        <sz val="11"/>
        <color indexed="8"/>
        <rFont val="Times New Roman"/>
        <family val="1"/>
        <charset val="238"/>
      </rPr>
      <t>, dno1/1 - s tvornički navarenim dva priključka ø200 mm u dno, h = 1,25 m</t>
    </r>
  </si>
  <si>
    <r>
      <t>DN 625 mm</t>
    </r>
    <r>
      <rPr>
        <sz val="11"/>
        <color indexed="8"/>
        <rFont val="Times New Roman"/>
        <family val="1"/>
        <charset val="238"/>
      </rPr>
      <t>, dno1/1 - s tvornički navarenim  2 kućna priključka DN 160 mm u dno, h = 1,25 m</t>
    </r>
  </si>
  <si>
    <r>
      <t>DN 625 mm</t>
    </r>
    <r>
      <rPr>
        <sz val="11"/>
        <color indexed="8"/>
        <rFont val="Times New Roman"/>
        <family val="1"/>
        <charset val="238"/>
      </rPr>
      <t>, dno1/1 - s tvornički navarenim dva priključka ø200 mm u dno, h = 1,50 m</t>
    </r>
  </si>
  <si>
    <t>7</t>
  </si>
  <si>
    <r>
      <t>DN 625 mm</t>
    </r>
    <r>
      <rPr>
        <sz val="11"/>
        <color indexed="8"/>
        <rFont val="Times New Roman"/>
        <family val="1"/>
        <charset val="238"/>
      </rPr>
      <t>, dno1/1 - s tvornički navarenim priključkom ø200 mm u dno, h = 1,50 m</t>
    </r>
  </si>
  <si>
    <r>
      <t>DN 625 mm</t>
    </r>
    <r>
      <rPr>
        <sz val="11"/>
        <color indexed="8"/>
        <rFont val="Times New Roman"/>
        <family val="1"/>
        <charset val="238"/>
      </rPr>
      <t>, dno1/1 - s tvornički navarenim kućnim priključkom DN 160 mm u dno, h = 1,75 m</t>
    </r>
  </si>
  <si>
    <t>Dobava, doprema na odlagalište gradilišta i istovar ulazne brtve DN 200 i 250 mm za izvedbu kaskade , tj. za priključak ulazne odabrane cijevi  na tijelo okna.</t>
  </si>
  <si>
    <t>DN 250 mm</t>
  </si>
  <si>
    <t xml:space="preserve">Dobava, doprema na odlagalište gradilišta i istovar fazonskih komada (lukova) za odabranu cijev unutarnjeg profila ø 200 mm i ø 250 mm, tjemene nosivosti SN 8. Lukovi se montiraju na ulazu i izlazu okna te na kolektoru radi savladavanja horizontalnih lomova. U cijenu stavke uključen je sav spojni i brtveni materijal.  </t>
  </si>
  <si>
    <r>
      <t>ø</t>
    </r>
    <r>
      <rPr>
        <b/>
        <sz val="11"/>
        <color indexed="8"/>
        <rFont val="Times New Roman CE"/>
        <family val="1"/>
        <charset val="238"/>
      </rPr>
      <t xml:space="preserve"> 200 mm</t>
    </r>
  </si>
  <si>
    <t>13</t>
  </si>
  <si>
    <r>
      <t xml:space="preserve">Dobava i doprema na odlagalište gradilišta lijevano-željeznih kanalskih poklopaca </t>
    </r>
    <r>
      <rPr>
        <sz val="11"/>
        <color indexed="8"/>
        <rFont val="Symbol"/>
        <family val="1"/>
        <charset val="2"/>
      </rPr>
      <t>f</t>
    </r>
    <r>
      <rPr>
        <sz val="11"/>
        <color indexed="8"/>
        <rFont val="Times New Roman CE"/>
        <family val="1"/>
        <charset val="238"/>
      </rPr>
      <t>600 mm sa okruglim okvirom, nosivosti  125, 250 kN . Poklopci nosivosti 250 kN ugrađuju se u betonski vijenac, a poklopci nosivosti 125 kN ugrađuju se direktno na okno.</t>
    </r>
  </si>
  <si>
    <t>Obračun po komadu dobavljenog poklopca.</t>
  </si>
  <si>
    <t>27</t>
  </si>
  <si>
    <t>56</t>
  </si>
  <si>
    <t>Cijevi za spajanje kućnih priključaka su specificirane u stavci E1/1.</t>
  </si>
  <si>
    <t xml:space="preserve">Dobava, doprema na odlagalište gradilišta i istovar PVC čepova profila DN 160 mm. </t>
  </si>
  <si>
    <t>6.3.</t>
  </si>
  <si>
    <t xml:space="preserve">Dobava, doprema na odlagalište gradilišta i istovar spojnica ND 160 mm za spajanje cijevi koje su skraćene i nemaju original naglavak i za montažu čepova za privremeno zatvaranje cijevi kućnih priključaka. </t>
  </si>
  <si>
    <r>
      <t xml:space="preserve">Dobava, doprema na odlagalište gradilišta i istovar spojnica </t>
    </r>
    <r>
      <rPr>
        <b/>
        <sz val="11"/>
        <color indexed="8"/>
        <rFont val="Times New Roman CE"/>
        <charset val="238"/>
      </rPr>
      <t>ND 250 i 200 mm</t>
    </r>
    <r>
      <rPr>
        <sz val="11"/>
        <color indexed="8"/>
        <rFont val="Times New Roman CE"/>
        <charset val="238"/>
      </rPr>
      <t xml:space="preserve"> za spajanje  cijevi koje su skraćene i nemaju original završetak. </t>
    </r>
  </si>
  <si>
    <r>
      <t>ø</t>
    </r>
    <r>
      <rPr>
        <b/>
        <sz val="8.25"/>
        <color indexed="8"/>
        <rFont val="Times New Roman CE"/>
        <family val="1"/>
        <charset val="238"/>
      </rPr>
      <t xml:space="preserve"> </t>
    </r>
    <r>
      <rPr>
        <b/>
        <sz val="11"/>
        <color indexed="8"/>
        <rFont val="Times New Roman CE"/>
        <family val="1"/>
        <charset val="238"/>
      </rPr>
      <t>200 mm</t>
    </r>
  </si>
  <si>
    <r>
      <t xml:space="preserve">Doprema s odlagališta gradilišta,  spuštanje u rov, te kompletna montaža glatkih kanalizacijskih cijevi unutarnjeg profila  </t>
    </r>
    <r>
      <rPr>
        <b/>
        <sz val="11"/>
        <color indexed="8"/>
        <rFont val="Times New Roman CE"/>
        <charset val="238"/>
      </rPr>
      <t>ø 250 i 200 mm</t>
    </r>
    <r>
      <rPr>
        <sz val="11"/>
        <color indexed="8"/>
        <rFont val="Times New Roman CE"/>
        <charset val="238"/>
      </rPr>
      <t xml:space="preserve">, tjemene nosivosti SN 8. U cijenu je uključena geodetska nivelacija cjevovoda i kontrola zatrpavanja od strane montera. </t>
    </r>
  </si>
  <si>
    <t>L = 257,0</t>
  </si>
  <si>
    <t>L = 357,0</t>
  </si>
  <si>
    <t>L = 124,00</t>
  </si>
  <si>
    <t>L = 163,0</t>
  </si>
  <si>
    <t>L = 34,0</t>
  </si>
  <si>
    <t>L = 57,0</t>
  </si>
  <si>
    <t>L = 44,0</t>
  </si>
  <si>
    <t>L = 110,00</t>
  </si>
  <si>
    <t>L = 121,00</t>
  </si>
  <si>
    <t>L = 69,0</t>
  </si>
  <si>
    <t>L = 171,0</t>
  </si>
  <si>
    <t>L = 199,0</t>
  </si>
  <si>
    <t>L = 49,0</t>
  </si>
  <si>
    <t>L = 158,0</t>
  </si>
  <si>
    <t>UKUPNO: 1993,0 m'</t>
  </si>
  <si>
    <t>Doprema s odlagališta, spuštanje u rov te kompletna montaža modularnih okana DN 625 i 800 mm izrađenih od polietilena visoke gustoće PE80  prema pr EN 13598-2.</t>
  </si>
  <si>
    <t>82</t>
  </si>
  <si>
    <r>
      <t xml:space="preserve">Ispiranje canal-jetom izgrađenih cjevovoda profila </t>
    </r>
    <r>
      <rPr>
        <sz val="11"/>
        <color indexed="8"/>
        <rFont val="Times New Roman"/>
        <family val="1"/>
        <charset val="238"/>
      </rPr>
      <t xml:space="preserve">ø 250 i ø 200 mm, zajedno s oknima. </t>
    </r>
  </si>
  <si>
    <r>
      <t xml:space="preserve">Završno ispitivanje izgrađene kanalizacije na vodonepropusnost profila </t>
    </r>
    <r>
      <rPr>
        <sz val="11"/>
        <color indexed="8"/>
        <rFont val="Times New Roman"/>
        <family val="1"/>
        <charset val="238"/>
      </rPr>
      <t>ø 250 i ø 200 mm</t>
    </r>
    <r>
      <rPr>
        <sz val="11"/>
        <color indexed="8"/>
        <rFont val="Times New Roman CE"/>
        <charset val="238"/>
      </rPr>
      <t xml:space="preserve">, zajedno sa kontrolnim oknima. Jedinična cijena stavke uključuje sav potreban rad, materijal i pomoćna sredstva za izvedbu opisanog rada. </t>
    </r>
  </si>
  <si>
    <r>
      <t>- pijesak(m</t>
    </r>
    <r>
      <rPr>
        <vertAlign val="superscript"/>
        <sz val="11"/>
        <color indexed="8"/>
        <rFont val="Times New Roman CE"/>
        <family val="1"/>
        <charset val="238"/>
      </rPr>
      <t>3</t>
    </r>
    <r>
      <rPr>
        <sz val="11"/>
        <color indexed="8"/>
        <rFont val="Times New Roman CE"/>
        <charset val="238"/>
      </rPr>
      <t>2,50</t>
    </r>
    <r>
      <rPr>
        <sz val="11"/>
        <color indexed="8"/>
        <rFont val="Times New Roman CE"/>
        <family val="1"/>
        <charset val="238"/>
      </rPr>
      <t>)</t>
    </r>
  </si>
  <si>
    <r>
      <t>- zatrpavanje(m</t>
    </r>
    <r>
      <rPr>
        <vertAlign val="superscript"/>
        <sz val="11"/>
        <color indexed="8"/>
        <rFont val="Times New Roman CE"/>
        <family val="1"/>
        <charset val="238"/>
      </rPr>
      <t>3</t>
    </r>
    <r>
      <rPr>
        <sz val="11"/>
        <color indexed="8"/>
        <rFont val="Times New Roman CE"/>
        <family val="1"/>
        <charset val="238"/>
      </rPr>
      <t>2,50)</t>
    </r>
  </si>
  <si>
    <t>71</t>
  </si>
  <si>
    <r>
      <t>-pijesak(m</t>
    </r>
    <r>
      <rPr>
        <vertAlign val="superscript"/>
        <sz val="11"/>
        <color indexed="8"/>
        <rFont val="Times New Roman CE"/>
        <family val="1"/>
        <charset val="238"/>
      </rPr>
      <t>3</t>
    </r>
    <r>
      <rPr>
        <sz val="11"/>
        <color indexed="8"/>
        <rFont val="Times New Roman CE"/>
        <charset val="238"/>
      </rPr>
      <t>5,0</t>
    </r>
    <r>
      <rPr>
        <sz val="11"/>
        <color indexed="8"/>
        <rFont val="Times New Roman CE"/>
        <family val="1"/>
        <charset val="238"/>
      </rPr>
      <t>0)</t>
    </r>
  </si>
  <si>
    <r>
      <t>-zatrpavanje(m</t>
    </r>
    <r>
      <rPr>
        <vertAlign val="superscript"/>
        <sz val="11"/>
        <color indexed="8"/>
        <rFont val="Times New Roman CE"/>
        <family val="1"/>
        <charset val="238"/>
      </rPr>
      <t>3</t>
    </r>
    <r>
      <rPr>
        <sz val="11"/>
        <color indexed="8"/>
        <rFont val="Times New Roman CE"/>
        <charset val="238"/>
      </rPr>
      <t>5,0</t>
    </r>
    <r>
      <rPr>
        <sz val="11"/>
        <color indexed="8"/>
        <rFont val="Times New Roman CE"/>
        <family val="1"/>
        <charset val="238"/>
      </rPr>
      <t>0)</t>
    </r>
  </si>
  <si>
    <t>- za kućne priključke dužine 25 m'</t>
  </si>
  <si>
    <r>
      <t>-ručni iskop (m</t>
    </r>
    <r>
      <rPr>
        <vertAlign val="superscript"/>
        <sz val="11"/>
        <color indexed="8"/>
        <rFont val="Times New Roman CE"/>
        <family val="1"/>
        <charset val="238"/>
      </rPr>
      <t>3</t>
    </r>
    <r>
      <rPr>
        <sz val="11"/>
        <color indexed="8"/>
        <rFont val="Times New Roman CE"/>
        <charset val="238"/>
      </rPr>
      <t>25</t>
    </r>
    <r>
      <rPr>
        <sz val="11"/>
        <color indexed="8"/>
        <rFont val="Times New Roman CE"/>
        <family val="1"/>
        <charset val="238"/>
      </rPr>
      <t>,0)</t>
    </r>
  </si>
  <si>
    <r>
      <t>-pijesak(m</t>
    </r>
    <r>
      <rPr>
        <vertAlign val="superscript"/>
        <sz val="11"/>
        <color indexed="8"/>
        <rFont val="Times New Roman CE"/>
        <family val="1"/>
        <charset val="238"/>
      </rPr>
      <t>3</t>
    </r>
    <r>
      <rPr>
        <sz val="11"/>
        <color indexed="8"/>
        <rFont val="Times New Roman CE"/>
        <charset val="238"/>
      </rPr>
      <t>25,0</t>
    </r>
    <r>
      <rPr>
        <sz val="11"/>
        <color indexed="8"/>
        <rFont val="Times New Roman CE"/>
        <family val="1"/>
        <charset val="238"/>
      </rPr>
      <t>0)</t>
    </r>
  </si>
  <si>
    <r>
      <t>-zatrpavanje(m</t>
    </r>
    <r>
      <rPr>
        <vertAlign val="superscript"/>
        <sz val="11"/>
        <color indexed="8"/>
        <rFont val="Times New Roman CE"/>
        <family val="1"/>
        <charset val="238"/>
      </rPr>
      <t>3</t>
    </r>
    <r>
      <rPr>
        <sz val="11"/>
        <color indexed="8"/>
        <rFont val="Times New Roman CE"/>
        <charset val="238"/>
      </rPr>
      <t>25,0</t>
    </r>
    <r>
      <rPr>
        <sz val="11"/>
        <color indexed="8"/>
        <rFont val="Times New Roman CE"/>
        <family val="1"/>
        <charset val="238"/>
      </rPr>
      <t>0)</t>
    </r>
  </si>
  <si>
    <r>
      <t>-odvoz (m</t>
    </r>
    <r>
      <rPr>
        <vertAlign val="superscript"/>
        <sz val="11"/>
        <color indexed="8"/>
        <rFont val="Times New Roman CE"/>
        <family val="1"/>
        <charset val="238"/>
      </rPr>
      <t>3</t>
    </r>
    <r>
      <rPr>
        <sz val="11"/>
        <color indexed="8"/>
        <rFont val="Times New Roman CE"/>
        <charset val="238"/>
      </rPr>
      <t>25,0</t>
    </r>
    <r>
      <rPr>
        <sz val="11"/>
        <color indexed="8"/>
        <rFont val="Times New Roman CE"/>
        <family val="1"/>
        <charset val="238"/>
      </rPr>
      <t>0)</t>
    </r>
  </si>
  <si>
    <t>- ugradnja čepa ND 160 mm za zatvaranje cijevi</t>
  </si>
  <si>
    <t>- montaža luka 30° ili 45° ND 160 mm (po potrebi)</t>
  </si>
  <si>
    <t xml:space="preserve">Zatrpavanje postojećih instalacija (elektroinstalacije, TK instalacije, vodovod) nakon polaganja kanalizacijskih cijevi. </t>
  </si>
  <si>
    <t>Stavkom će se obračunati zatrpavanje instalacija koje se nađu u zajedničkom rovu iskopa fekalne kanalizacije.</t>
  </si>
  <si>
    <r>
      <t>Za zaštitu 1m' rova potrebno je 0,1 m</t>
    </r>
    <r>
      <rPr>
        <vertAlign val="superscript"/>
        <sz val="11"/>
        <color indexed="8"/>
        <rFont val="Times New Roman CE"/>
        <family val="1"/>
        <charset val="238"/>
      </rPr>
      <t>3</t>
    </r>
    <r>
      <rPr>
        <sz val="11"/>
        <color indexed="8"/>
        <rFont val="Times New Roman CE"/>
        <family val="1"/>
        <charset val="238"/>
      </rPr>
      <t xml:space="preserve"> pijeska.</t>
    </r>
  </si>
  <si>
    <t xml:space="preserve">Instalacije zaštititi finim pijeskom, zaštitnom i upozoravajućom trakom prema važećim propisima i tehničkim uvjetima za određeni tip instalacija. </t>
  </si>
  <si>
    <t>Obračunat će se prema stvarno izvedenim radovima (po m') uz odobrenje Naručitelja i Nadzornog inženjera.</t>
  </si>
  <si>
    <t>UKUPNA KOLIČINA</t>
  </si>
  <si>
    <t>JEDINIČNA CIJENA
[HRK]</t>
  </si>
  <si>
    <t>UKUPNA CIJENA 
[HRK]</t>
  </si>
  <si>
    <t>Zarezivanje postojećeg zastora bez obzira na debljinu sloja</t>
  </si>
  <si>
    <t>Geodetski radovi</t>
  </si>
  <si>
    <t>Lociranje, označavanje i zaštita postojećih instalacija</t>
  </si>
  <si>
    <t>Zatrpavanje rova zamjenskim materijalom</t>
  </si>
  <si>
    <t>Ostali radovi</t>
  </si>
  <si>
    <t>DN 600 mm</t>
  </si>
  <si>
    <t>DN 400 mm</t>
  </si>
  <si>
    <r>
      <t>m</t>
    </r>
    <r>
      <rPr>
        <vertAlign val="superscript"/>
        <sz val="11"/>
        <rFont val="Tahoma"/>
        <family val="2"/>
        <charset val="238"/>
      </rPr>
      <t>2</t>
    </r>
    <r>
      <rPr>
        <sz val="11"/>
        <rFont val="Tahoma"/>
        <family val="2"/>
        <charset val="238"/>
      </rPr>
      <t xml:space="preserve"> </t>
    </r>
  </si>
  <si>
    <t>1.4.</t>
  </si>
  <si>
    <t>1.6.</t>
  </si>
  <si>
    <t>2.2.</t>
  </si>
  <si>
    <t>2.3.</t>
  </si>
  <si>
    <t>2.4.</t>
  </si>
  <si>
    <t>2.5.</t>
  </si>
  <si>
    <t>BETONSKI I ARMIRANO BETONSKI RADOVI</t>
  </si>
  <si>
    <t>3.2.</t>
  </si>
  <si>
    <t>3.3.</t>
  </si>
  <si>
    <t>3.4.</t>
  </si>
  <si>
    <t>Zatrpavanje materijalom iz iskopa</t>
  </si>
  <si>
    <t>DN 80</t>
  </si>
  <si>
    <t>Preostalog dijela rova</t>
  </si>
  <si>
    <t>2.3.5.</t>
  </si>
  <si>
    <t>4.3.</t>
  </si>
  <si>
    <t>4.4.</t>
  </si>
  <si>
    <t>4.5.</t>
  </si>
  <si>
    <t>REKAPITULACIJA</t>
  </si>
  <si>
    <t>UKUPNO 
[HRK]</t>
  </si>
  <si>
    <t>KOLEKTORI</t>
  </si>
  <si>
    <t xml:space="preserve">
OPIS STAVKE</t>
  </si>
  <si>
    <t>1.7.</t>
  </si>
  <si>
    <t>1.3.2.</t>
  </si>
  <si>
    <t>1.6.2.</t>
  </si>
  <si>
    <t>2.4.16.</t>
  </si>
  <si>
    <t>2.4.18.</t>
  </si>
  <si>
    <t>2.4.19.</t>
  </si>
  <si>
    <t>2.4.19.1</t>
  </si>
  <si>
    <t>2.4.19.2</t>
  </si>
  <si>
    <t>2.4.20.</t>
  </si>
  <si>
    <t>2.7.1.</t>
  </si>
  <si>
    <t>2.10.</t>
  </si>
  <si>
    <t>2.10.6.</t>
  </si>
  <si>
    <t>Uklanjanje postojećih objekata</t>
  </si>
  <si>
    <t>2.3.12.</t>
  </si>
  <si>
    <t>Strojni iskop</t>
  </si>
  <si>
    <t>Monterski radovi</t>
  </si>
  <si>
    <t>2.4.9.</t>
  </si>
  <si>
    <t>2.4.10.</t>
  </si>
  <si>
    <t>2.4.12.</t>
  </si>
  <si>
    <t>Armaturni čelik</t>
  </si>
  <si>
    <t>2.9.9.</t>
  </si>
  <si>
    <t xml:space="preserve">Fazonski komadi </t>
  </si>
  <si>
    <t>Spojnice</t>
  </si>
  <si>
    <t>2.9.13.</t>
  </si>
  <si>
    <t>2.9.14.</t>
  </si>
  <si>
    <t>CRPNE STANICE - građevinski i strojarski radovi</t>
  </si>
  <si>
    <t>CRPNE STANICE - elektro radovi</t>
  </si>
  <si>
    <t>Strojno skidanje i razbijanje zastora</t>
  </si>
  <si>
    <t>po asfaltiranoj prometnici</t>
  </si>
  <si>
    <t>po betoniranoj površini</t>
  </si>
  <si>
    <t>2.2./2.3.</t>
  </si>
  <si>
    <t>2.2.5.</t>
  </si>
  <si>
    <t>2.4./2.10.</t>
  </si>
  <si>
    <t>2.3.9.</t>
  </si>
  <si>
    <t>2.3.11.</t>
  </si>
  <si>
    <t>2.3.7.</t>
  </si>
  <si>
    <t>2.4.3.</t>
  </si>
  <si>
    <t>2.4.7.</t>
  </si>
  <si>
    <t>2.4.4.</t>
  </si>
  <si>
    <t>2.4.8.</t>
  </si>
  <si>
    <t>2.5.4.</t>
  </si>
  <si>
    <t>2.7.2.</t>
  </si>
  <si>
    <t>2.10.7.</t>
  </si>
  <si>
    <t>2.9.15.</t>
  </si>
  <si>
    <t>Betonski, armiranobetonski, izolaterski i tesarski radovi</t>
  </si>
  <si>
    <t>2.4.13.</t>
  </si>
  <si>
    <t>2.4.14.</t>
  </si>
  <si>
    <t>2.4.15.</t>
  </si>
  <si>
    <t>Ispitivanje vodonepropusnosti gravitacijskih cjevovoda i revizijskih okana</t>
  </si>
  <si>
    <t>Ispitivanje tlačnih cjevovoda i revizijskih okana na vodonepropusnost</t>
  </si>
  <si>
    <t xml:space="preserve">Osiguranje prometa za vrijeme izvođenja radova </t>
  </si>
  <si>
    <t>CCTV inspekcija položenog cjevovoda</t>
  </si>
  <si>
    <t xml:space="preserve">Ispiranje cjevovoda canal-jetom </t>
  </si>
  <si>
    <t>1.3.7</t>
  </si>
  <si>
    <t>1.3.8</t>
  </si>
  <si>
    <t>1.3.9</t>
  </si>
  <si>
    <t>2.4.5.</t>
  </si>
  <si>
    <t>2.3.10.</t>
  </si>
  <si>
    <t>2.7.6.</t>
  </si>
  <si>
    <t>2.7.9.</t>
  </si>
  <si>
    <t>2.5.13.</t>
  </si>
  <si>
    <t>2.10.8.</t>
  </si>
  <si>
    <t>2.10.10.</t>
  </si>
  <si>
    <t>2.3.9.1.</t>
  </si>
  <si>
    <t>2.3.9.2.</t>
  </si>
  <si>
    <t>vodovodne instalacije</t>
  </si>
  <si>
    <t xml:space="preserve"> - </t>
  </si>
  <si>
    <t xml:space="preserve"> -</t>
  </si>
  <si>
    <t>1.2.2.1</t>
  </si>
  <si>
    <t>1.2.2.2</t>
  </si>
  <si>
    <t>1.2.2.3</t>
  </si>
  <si>
    <t>drveće i panjevi promjera od 30 cm do 50 cm promjera</t>
  </si>
  <si>
    <t>1.6.1.1</t>
  </si>
  <si>
    <t>Humusni sloj - SKIDANJE</t>
  </si>
  <si>
    <t>0-2 m dubine</t>
  </si>
  <si>
    <t>Križanja s postojećim objektima</t>
  </si>
  <si>
    <t>1.8.3.1</t>
  </si>
  <si>
    <t>P1</t>
  </si>
  <si>
    <t>P2</t>
  </si>
  <si>
    <t>vodovodni kućni priključci</t>
  </si>
  <si>
    <t>TK i SVK instalacije</t>
  </si>
  <si>
    <t>plinske instalacije</t>
  </si>
  <si>
    <t>plinski priključci</t>
  </si>
  <si>
    <t>NN ili SN mreža HEP-a</t>
  </si>
  <si>
    <t>sekundarni kanali kanalizacije</t>
  </si>
  <si>
    <t>kućni priključci kanalizacije</t>
  </si>
  <si>
    <t>priključci slivnika cestovne odvodnje</t>
  </si>
  <si>
    <t>Propust od betonskih cijevi</t>
  </si>
  <si>
    <t>Izrada donjeg nosivog tamponskog sloja</t>
  </si>
  <si>
    <t>Izrada cementnog nosivog sloja</t>
  </si>
  <si>
    <t>Izrada nosivog sloja od bitumeniziranog materijala</t>
  </si>
  <si>
    <t xml:space="preserve">Izrada habajućeg sloja </t>
  </si>
  <si>
    <t>2.3.9.3.</t>
  </si>
  <si>
    <t>2.3.9.4.</t>
  </si>
  <si>
    <t>1.4.1</t>
  </si>
  <si>
    <t>1.4.2</t>
  </si>
  <si>
    <t>2.5.5.</t>
  </si>
  <si>
    <t>1.4.3</t>
  </si>
  <si>
    <t>1.4.5</t>
  </si>
  <si>
    <t>Rigoli za prihvat oborinskih voda - uklanjanje i obnova</t>
  </si>
  <si>
    <t>Kolnička poprečna rešetka za prihvat oborinskih voda - uklanjanje i obnova</t>
  </si>
  <si>
    <t>Obnova kolničke konstrukcije kućnih prilaza širine 1 m</t>
  </si>
  <si>
    <t>Obnova betonskog prilaza</t>
  </si>
  <si>
    <t>Obnova asfaltnog prilaza</t>
  </si>
  <si>
    <t>1.3.3</t>
  </si>
  <si>
    <t xml:space="preserve">Izrada posteljice </t>
  </si>
  <si>
    <t>Betonske cijevi profila fi 30</t>
  </si>
  <si>
    <t>Betonske cijevi profila fi 40</t>
  </si>
  <si>
    <t>Betonske cijevi profila fi 50</t>
  </si>
  <si>
    <t>Betonske cijevi profila fi 60</t>
  </si>
  <si>
    <t>Betonske cijevi profila fi 80</t>
  </si>
  <si>
    <t>AB okna unutrašnjeg otvora 100x100cm, prosj. Dubine 2m</t>
  </si>
  <si>
    <t>AB okna unutrašnjeg otvora 200x200cm, prosj. Dubine 2m</t>
  </si>
  <si>
    <t>Spojni cjevovod DN 300 mm</t>
  </si>
  <si>
    <t>Spojni cjevovod DN 400 mm</t>
  </si>
  <si>
    <t>Spojni cjevovod DN 500 mm</t>
  </si>
  <si>
    <t>Spojni cjevovod DN 600 mm</t>
  </si>
  <si>
    <t>Spojni cjevovod DN 800 mm</t>
  </si>
  <si>
    <t>Hortikulturni radovi</t>
  </si>
  <si>
    <t>Travnjak</t>
  </si>
  <si>
    <t>Drveće</t>
  </si>
  <si>
    <t>Grmlje</t>
  </si>
  <si>
    <t xml:space="preserve">Izrada obloge cjevovoda </t>
  </si>
  <si>
    <t>DN 1200 mm</t>
  </si>
  <si>
    <t>2.5.18.</t>
  </si>
  <si>
    <t>Tipske ljestve</t>
  </si>
  <si>
    <t>Gravitacijski cjevovodi</t>
  </si>
  <si>
    <t>Revizijska okna</t>
  </si>
  <si>
    <t>Nabava, doprema i ugradnja razupora</t>
  </si>
  <si>
    <t>2-4 m dubine</t>
  </si>
  <si>
    <t>Strojno vađenje talpi</t>
  </si>
  <si>
    <t>Odvoz viška materijala</t>
  </si>
  <si>
    <t>Nanašanje, planiranje i ozelenjivanje humusa</t>
  </si>
  <si>
    <t>Ranije izdvojeni humus</t>
  </si>
  <si>
    <t>Nabavom novog humusa</t>
  </si>
  <si>
    <t>Betonska podloga</t>
  </si>
  <si>
    <t>Izrada kinete okna</t>
  </si>
  <si>
    <t>Horizontalna dilatacija radnih reški čeličnom dilatacijskom trakom</t>
  </si>
  <si>
    <t>Izvedba hidroizolacije pokrovne ploče</t>
  </si>
  <si>
    <t>Montažni radovi</t>
  </si>
  <si>
    <t>DN 1000</t>
  </si>
  <si>
    <t>Žablji poklopac</t>
  </si>
  <si>
    <t>Dobava, transport i ugradba klizne zapornice</t>
  </si>
  <si>
    <t>Vodonepropusno ispitivanje objekta preljeva</t>
  </si>
  <si>
    <t>Iskop</t>
  </si>
  <si>
    <t>Betonski radovi na izvođenju ušća</t>
  </si>
  <si>
    <t>Temelj ušća i obloga pokosa betonom C16/20</t>
  </si>
  <si>
    <t>Podloga ušća betonom C12/15</t>
  </si>
  <si>
    <t>Krila ispusta betonom C25/30</t>
  </si>
  <si>
    <t>Ploča ušća betonom C25/30</t>
  </si>
  <si>
    <t xml:space="preserve">Obloga od lomljenog kamena vel Ø 30-60 cm pokosa i dna potoka </t>
  </si>
  <si>
    <t xml:space="preserve">Nabačaj od lomljenog kamena Ø 30-60 cm ispred ušća </t>
  </si>
  <si>
    <t>Skidanje humusa</t>
  </si>
  <si>
    <t>PRELJEVI</t>
  </si>
  <si>
    <t>Demontaža razupora</t>
  </si>
  <si>
    <t>2.5.21.</t>
  </si>
  <si>
    <t>2.5.19.</t>
  </si>
  <si>
    <t>Armatura armiranobetonskih dijelova ušća
B 500 B šipke i mreže</t>
  </si>
  <si>
    <t>P3</t>
  </si>
  <si>
    <t>-</t>
  </si>
  <si>
    <t>Penjalice</t>
  </si>
  <si>
    <t>Montaža lijevano željeznih penalica</t>
  </si>
  <si>
    <t>DN 1200</t>
  </si>
  <si>
    <t>TK i SVN priključci</t>
  </si>
  <si>
    <t xml:space="preserve">Revizijska okna </t>
  </si>
  <si>
    <t>Cjevovodi</t>
  </si>
  <si>
    <t>Uklanjanje grmlja i sječa stabala</t>
  </si>
  <si>
    <t>drveće i panjevi promjera preko 50 cm promjera</t>
  </si>
  <si>
    <t>Betonska staza širine 1,0 - 1.5 m debljine 10 cm - uklanjanje i obnova</t>
  </si>
  <si>
    <t>Uklanjanje i obnova vertikalne prometne signalizacije</t>
  </si>
  <si>
    <t>Humusni sloj - obnova ranije izdvojenim humusom</t>
  </si>
  <si>
    <t>4-6 m dubine</t>
  </si>
  <si>
    <t>2.3.9.7.</t>
  </si>
  <si>
    <t>AB vijenac okna</t>
  </si>
  <si>
    <t>Betonska obloga/podloge/zaštitni beton C12/15</t>
  </si>
  <si>
    <t>DN 500 mm</t>
  </si>
  <si>
    <t>Ugradba kombi trake na sve spojeve i dilatacije</t>
  </si>
  <si>
    <t>2.9.21.</t>
  </si>
  <si>
    <t>Zatrpavanje rova materijalom iz iskopa</t>
  </si>
  <si>
    <t>2.9.5.</t>
  </si>
  <si>
    <t>Ispitivanje grav. kanala na vodonepropusnost i funkcion.</t>
  </si>
  <si>
    <t>Ušće rasteretnog kolektora preljeva u oborinski kanal</t>
  </si>
  <si>
    <t>P4</t>
  </si>
  <si>
    <t>po makadamu</t>
  </si>
  <si>
    <t>BNHS 0/11 debljine 3 cm (nogostup)</t>
  </si>
  <si>
    <t>2.5.12</t>
  </si>
  <si>
    <t>2.9.21.1</t>
  </si>
  <si>
    <t>Nisko raslinje, drveće i panjevi promjera do 10 cm</t>
  </si>
  <si>
    <t>drveće i panjevi promjera od 10 cm do 30 cm promjera</t>
  </si>
  <si>
    <t>Betonska obloga/podloge/zaštitni beton C16/20</t>
  </si>
  <si>
    <t>Betonska obloga/podloge/zaštitni beton</t>
  </si>
  <si>
    <t>1.7.1.1</t>
  </si>
  <si>
    <t>1.7.1.2</t>
  </si>
  <si>
    <t>PEHD DN 90 11°</t>
  </si>
  <si>
    <t>PEHD DN 110 11°</t>
  </si>
  <si>
    <t>PEHD DN 110 45°</t>
  </si>
  <si>
    <t>DN 90 PN 10</t>
  </si>
  <si>
    <t>DN 110 PN 10</t>
  </si>
  <si>
    <t xml:space="preserve">AB OKNA </t>
  </si>
  <si>
    <t>KINETE C 16/20</t>
  </si>
  <si>
    <t>PEHD DN 90 22°</t>
  </si>
  <si>
    <t>PEHD DN 90 45°</t>
  </si>
  <si>
    <t>PEHD DN 90 60°</t>
  </si>
  <si>
    <t>1.7.6.1</t>
  </si>
  <si>
    <t>1.7.6.2</t>
  </si>
  <si>
    <t xml:space="preserve">Proširenja oko okna </t>
  </si>
  <si>
    <t>AB 11E debljine 4 cm (državna cesta)</t>
  </si>
  <si>
    <t>1.8.2./ 2.3./ 2.3.19.</t>
  </si>
  <si>
    <t>Humusni sloj - obnova nabavom humusa s drugih lokacija</t>
  </si>
  <si>
    <t>2.5.6.</t>
  </si>
  <si>
    <t>1.8.3.2</t>
  </si>
  <si>
    <t>1.8.3.4</t>
  </si>
  <si>
    <t>2.3.20.1.</t>
  </si>
  <si>
    <t>Križanje gravitacijskih kanala s prometnicama</t>
  </si>
  <si>
    <t>Križanje gravitacijskih kanala sa željezničkom prugom</t>
  </si>
  <si>
    <t>2.3.20.1.1.</t>
  </si>
  <si>
    <t>2.3.20.1.2.</t>
  </si>
  <si>
    <t>2.3.20.2.</t>
  </si>
  <si>
    <t>Križanje gravitacijskih kanala s vodotokom</t>
  </si>
  <si>
    <t>2.3.20.3.</t>
  </si>
  <si>
    <t>2.3.20.4.</t>
  </si>
  <si>
    <t>1.8.3.5</t>
  </si>
  <si>
    <t>Križanje tlačnih kanala s prometnicom</t>
  </si>
  <si>
    <t>2.3.20.5.</t>
  </si>
  <si>
    <t>Križanje gravitacijskih kanala s betonskim pločastim propustom</t>
  </si>
  <si>
    <t>2.3.20.6.</t>
  </si>
  <si>
    <t>TK i SVN instalacije</t>
  </si>
  <si>
    <t>Uklanjanje postojećeg prometnog znaka</t>
  </si>
  <si>
    <t>Ugradnja postojećeg prometnog znaka</t>
  </si>
  <si>
    <t>Ugradnja novog prometnog znaka</t>
  </si>
  <si>
    <t xml:space="preserve">Obnova makadamskog prilaza </t>
  </si>
  <si>
    <t>2.5.11.</t>
  </si>
  <si>
    <t>Betonsko ukrućenje, betonska uporišta, bet. C 25/30</t>
  </si>
  <si>
    <t>Zasun prirubnički DN100</t>
  </si>
  <si>
    <t>FF komad DN 80 L = 350 mm</t>
  </si>
  <si>
    <t>Zasun prirubnički DN80</t>
  </si>
  <si>
    <t>N komad DN80</t>
  </si>
  <si>
    <t>Brza spojka DN80</t>
  </si>
  <si>
    <t xml:space="preserve">kom </t>
  </si>
  <si>
    <t>Odzračno - dozračne garniture</t>
  </si>
  <si>
    <t>Križanje bušenjem terena ispod vodotoka</t>
  </si>
  <si>
    <t>Križanje prekopom terena ispod korita vodotoka</t>
  </si>
  <si>
    <t>Križanje tlačnog cjevovoda s prugom</t>
  </si>
  <si>
    <t>2.3.20.7.1</t>
  </si>
  <si>
    <t>2.3.20.7.2</t>
  </si>
  <si>
    <t>PEHD DN 140 45°</t>
  </si>
  <si>
    <t>PEHD DN 140 30°</t>
  </si>
  <si>
    <t>DN 140 PN 10</t>
  </si>
  <si>
    <t>Obnova makadamskog zastora kolnika, bankine i cestovnog jarka</t>
  </si>
  <si>
    <t>2.3.9.6.</t>
  </si>
  <si>
    <t>2.3.9.5.</t>
  </si>
  <si>
    <t>PEHD DN 90 30°</t>
  </si>
  <si>
    <t>Montažno demontažni komad MDK DN 100</t>
  </si>
  <si>
    <t>Nožasti zasun s ručnim kolom DN 100</t>
  </si>
  <si>
    <t>Revizijski komad RRK DN 100</t>
  </si>
  <si>
    <t>T komad DN 100/50</t>
  </si>
  <si>
    <t>Nožasti zasun s ručnim kolom DN 50</t>
  </si>
  <si>
    <t>Odzračni (kanalizacijski) ventil DN 50</t>
  </si>
  <si>
    <t>Sapnica s navojem (za odzračni ventil) DN 50 (2'')</t>
  </si>
  <si>
    <t>T komad DN 100/ DN80</t>
  </si>
  <si>
    <t>Obnova ograda</t>
  </si>
  <si>
    <t>Betonska ograda</t>
  </si>
  <si>
    <t>Žičano pletivo sa stupovima</t>
  </si>
  <si>
    <t>Čelični elementi s bet. Parapetnim zidićem</t>
  </si>
  <si>
    <t>Živica</t>
  </si>
  <si>
    <t>Drvena ograda</t>
  </si>
  <si>
    <t>1.8.1.1</t>
  </si>
  <si>
    <t>1.8.1.2</t>
  </si>
  <si>
    <t>1.8.1.3</t>
  </si>
  <si>
    <t>1.8.2.1</t>
  </si>
  <si>
    <t>1.8.2.2</t>
  </si>
  <si>
    <t>1.8.2.3</t>
  </si>
  <si>
    <t>1.8.2.4</t>
  </si>
  <si>
    <t>1.8.2.5</t>
  </si>
  <si>
    <t>2.7.11</t>
  </si>
  <si>
    <t>2.7.12</t>
  </si>
  <si>
    <t>Rušenje postojećih kanala</t>
  </si>
  <si>
    <t>Rušenje postojećih revizijskih okana</t>
  </si>
  <si>
    <t>Cjevovodi od pehd-a, pvc-a, nodularnog lijeva i betona</t>
  </si>
  <si>
    <t>Cjevovodi od azbest cementa</t>
  </si>
  <si>
    <t>Sanacija i uređenje jaraka cestovne odvodnje</t>
  </si>
  <si>
    <t>2.10.6.1.</t>
  </si>
  <si>
    <t>2.10.6.2.</t>
  </si>
  <si>
    <t>2.10.6.4.</t>
  </si>
  <si>
    <t>2.10.6.5.</t>
  </si>
  <si>
    <t>Obnova propusta od betonskih cijevi</t>
  </si>
  <si>
    <t>Obnova kolničke konstrukcije kućnih prilaza širine 2.5 m</t>
  </si>
  <si>
    <t>PEHD DN 1200, lučni komad 30</t>
  </si>
  <si>
    <t>PVC naglavno sedlo (jahač) DN 400/160 ili DN 600/160</t>
  </si>
  <si>
    <t>PVC koljeno 45° sa brtvom URG DN 160/45</t>
  </si>
  <si>
    <t>CS "BRCKOVČINA 1"</t>
  </si>
  <si>
    <t>CS "BRCKOVČINA 2"</t>
  </si>
  <si>
    <t>CS "LEMEŠ KRIŽEVAČKI"</t>
  </si>
  <si>
    <t>VODOOPSKRBNI CJEVOVOD</t>
  </si>
  <si>
    <t>1.1.1</t>
  </si>
  <si>
    <t>1.1.2</t>
  </si>
  <si>
    <t>Izrada elaborata privremene regulacije prometa</t>
  </si>
  <si>
    <t>1.1.3</t>
  </si>
  <si>
    <t>Izrada geodetskog elaborata izvedenog stanja</t>
  </si>
  <si>
    <t>1.3.</t>
  </si>
  <si>
    <t>1.3.4</t>
  </si>
  <si>
    <t>1.3.5</t>
  </si>
  <si>
    <t>1.3.10</t>
  </si>
  <si>
    <t>1.4.2.1</t>
  </si>
  <si>
    <t>1.4.2.2</t>
  </si>
  <si>
    <t>Monterski radovi: dobava, doprema i ugradnja</t>
  </si>
  <si>
    <t>PEHD cijev DN 110 mm, PN 10 bar</t>
  </si>
  <si>
    <t>1.6.3.</t>
  </si>
  <si>
    <t>1.6.3.1</t>
  </si>
  <si>
    <t>1.6.3.2</t>
  </si>
  <si>
    <t>1.6.3.3</t>
  </si>
  <si>
    <t>Nadzemni hidrant DN 80</t>
  </si>
  <si>
    <t>1.6.9.</t>
  </si>
  <si>
    <t>EU komad DN 300</t>
  </si>
  <si>
    <t>EV zasun DN 80</t>
  </si>
  <si>
    <t>1.6.10.</t>
  </si>
  <si>
    <t>EU komad DN 200</t>
  </si>
  <si>
    <t>1.7.1</t>
  </si>
  <si>
    <t>1.7.2</t>
  </si>
  <si>
    <t>1.7.3</t>
  </si>
  <si>
    <t xml:space="preserve">Strojni iskop </t>
  </si>
  <si>
    <t xml:space="preserve">Ručni iskop </t>
  </si>
  <si>
    <t>kanalizacijske instalacije</t>
  </si>
  <si>
    <t>kanalizacijski priključci</t>
  </si>
  <si>
    <t xml:space="preserve">Zasunska okna </t>
  </si>
  <si>
    <t>Vodovodni cjevovodi</t>
  </si>
  <si>
    <t>1.4.2.3</t>
  </si>
  <si>
    <t>Rezanje asfaltnog zastora</t>
  </si>
  <si>
    <t>Rezanje betonskog zastora</t>
  </si>
  <si>
    <t>Kućni prilazi širine 2.5 m i propusti</t>
  </si>
  <si>
    <t>Obnova asfaltirane kolničke konstrukcije</t>
  </si>
  <si>
    <r>
      <t>m</t>
    </r>
    <r>
      <rPr>
        <vertAlign val="superscript"/>
        <sz val="11"/>
        <rFont val="Tahoma"/>
        <family val="2"/>
      </rPr>
      <t>2</t>
    </r>
    <r>
      <rPr>
        <sz val="11"/>
        <rFont val="Tahoma"/>
        <family val="2"/>
      </rPr>
      <t xml:space="preserve"> </t>
    </r>
  </si>
  <si>
    <t>Obnova betonskog zastora</t>
  </si>
  <si>
    <t>Obnova makadamskog zastora (i bankine)</t>
  </si>
  <si>
    <t>Radovi osiguranja postojećih propusta i kanala</t>
  </si>
  <si>
    <t>Obnova pristupnog puta i propusta</t>
  </si>
  <si>
    <t>1.3.1.</t>
  </si>
  <si>
    <t>1.3.6</t>
  </si>
  <si>
    <t>1.6.1.</t>
  </si>
  <si>
    <t>1.6.11.</t>
  </si>
  <si>
    <t>1.6.12.</t>
  </si>
  <si>
    <t>1.7.5</t>
  </si>
  <si>
    <t>Ugradba betonskih rubnjaka</t>
  </si>
  <si>
    <t>rov od 0 - 2 m dubine</t>
  </si>
  <si>
    <t xml:space="preserve">rov od 2 - 4 m dubine </t>
  </si>
  <si>
    <t xml:space="preserve">rov od 4 - 6 m dubine </t>
  </si>
  <si>
    <t>zasunska okna</t>
  </si>
  <si>
    <t>hidranti</t>
  </si>
  <si>
    <t>Izrada obloge cjevovoda</t>
  </si>
  <si>
    <t xml:space="preserve">Zatrpavanje rova zamjenskim materijalom </t>
  </si>
  <si>
    <t>B500A - šipke</t>
  </si>
  <si>
    <t>B500A - mreže</t>
  </si>
  <si>
    <t>Izrada unutarnjeg premaza zidova i stropa vodonepropusnom emulzijom</t>
  </si>
  <si>
    <t>Izrada glazure betonom C 12/15</t>
  </si>
  <si>
    <t>Izolacija pokrovne ploče okna bitumenom</t>
  </si>
  <si>
    <t>1.6.1.2</t>
  </si>
  <si>
    <t>Lijevano željezne stupaljke, 3 kom/m visine komore</t>
  </si>
  <si>
    <t>Izrada oslonaca za armature</t>
  </si>
  <si>
    <t>2.5.56</t>
  </si>
  <si>
    <t>2.5.57</t>
  </si>
  <si>
    <t>2.5.58</t>
  </si>
  <si>
    <t>2.5.59</t>
  </si>
  <si>
    <t>Betonsko ukrućenje, betonska uporišta</t>
  </si>
  <si>
    <t>Betonsko ukrućenje, betonska uporišta, bet. C 16/20</t>
  </si>
  <si>
    <t>Izrada suhozida od pune opeke</t>
  </si>
  <si>
    <t>Uklanjanje i obnova kolnika i pješačkih staza</t>
  </si>
  <si>
    <t>Ugradnja betonskih opločnika (teški promet) 10x20x8 cm</t>
  </si>
  <si>
    <t xml:space="preserve">Ugradnja betonskih opločnika </t>
  </si>
  <si>
    <t>Podloga za asfaltne i betonske površine</t>
  </si>
  <si>
    <t>Vađenje i ugradnja postojećeg rubnjaka 18/24x100 cm C 30/37</t>
  </si>
  <si>
    <t xml:space="preserve">Ugradnja novog rubnjaka 18/24X100 cm C 30/37 </t>
  </si>
  <si>
    <t>Ugradnja novog rubnjaka 6/24x100 cm</t>
  </si>
  <si>
    <t>spojnica za PES cijev DN 350, ∅v=376 mm, ∅u=360 mm, s= 8 mm, SN 5000 N/m2</t>
  </si>
  <si>
    <t>spojnica za PES cijev DN 350, ∅v=401 mm, ∅u=363 mm, s= 19 mm, SN 100000 N/m2</t>
  </si>
  <si>
    <t>spojnica za PES cijev DN 400, ∅v=427 mm, ∅u=409 mm, s= 9 mm, SN 5000 N/m2</t>
  </si>
  <si>
    <t>spojnica za PES cijev DN 550, ∅v=650 mm, ∅u=590 mm, s= 30 mm, SN 100000 N/m2</t>
  </si>
  <si>
    <t>Izrada obloge na mjestima prekopa melioracijskih kanala i vodotoka</t>
  </si>
  <si>
    <t>PEHD cijevi</t>
  </si>
  <si>
    <t>2.9.16.3.1.</t>
  </si>
  <si>
    <t>MMK komad od nodularnog lijeva, DN 300, α = 45,00°</t>
  </si>
  <si>
    <t>MMK komad od nodularnog lijeva, DN 300, α = 30,00°</t>
  </si>
  <si>
    <t>MMK komad od nodularnog lijeva, DN 300, α = 22,50°</t>
  </si>
  <si>
    <t>MMK komad od nodularnog lijeva, DN 300, α = 11,25°</t>
  </si>
  <si>
    <t>Cijevi od nodularnog lijeva</t>
  </si>
  <si>
    <t>Cijev s raskidivim spojem, DN/OD 110 , dozvoljeni radni tlak 16 bara</t>
  </si>
  <si>
    <t>Cijev s neraskidivim utisnim spojem, DN/OD 110, dozvoljeni radni tlak 25 bara</t>
  </si>
  <si>
    <t>Cijev s raskidivim spojem, DN/OD 160, dozvoljeni radni tlak 16 bara</t>
  </si>
  <si>
    <t>Fazonski komadi i armatura za zasunska okna</t>
  </si>
  <si>
    <t>Fazonski komadi za cjevovod</t>
  </si>
  <si>
    <t>E zasun (kratki) s ručnim kolom DN 100</t>
  </si>
  <si>
    <t>E zasun (kratki) s ručnim kolom DN 150</t>
  </si>
  <si>
    <t>E zasun (kratki) s ručnim kolom DN 200</t>
  </si>
  <si>
    <t>E zasun (kratki) s ručnim kolom DN 300</t>
  </si>
  <si>
    <t>T komad DN 100/DN 100</t>
  </si>
  <si>
    <t>T komad DN 150/DN 100</t>
  </si>
  <si>
    <t>T komad DN 150/DN 150</t>
  </si>
  <si>
    <t>T komad DN 200/DN 100</t>
  </si>
  <si>
    <t>T komad DN 300/DN 100</t>
  </si>
  <si>
    <t>T komad DN 300/DN 300</t>
  </si>
  <si>
    <t>TT komad DN 200</t>
  </si>
  <si>
    <t>TT komad DN 300</t>
  </si>
  <si>
    <t>N komad DN 100</t>
  </si>
  <si>
    <t>X komad DN 100</t>
  </si>
  <si>
    <t>X komad DN 150</t>
  </si>
  <si>
    <t>FFK komad DN 300, α=30°</t>
  </si>
  <si>
    <t>FFR komad DN 150/DN 100</t>
  </si>
  <si>
    <t>FFR komad DN 200/DN 100</t>
  </si>
  <si>
    <t>FFR komad DN 300/DN 150</t>
  </si>
  <si>
    <t>FFR komad DN 300/DN 200</t>
  </si>
  <si>
    <t>Montažno demontažni komad DN 100</t>
  </si>
  <si>
    <t>Montažno demontažni komad DN 150</t>
  </si>
  <si>
    <t>Montažno demontažni komad DN 200</t>
  </si>
  <si>
    <t>Montažno demontažni komad DN 300</t>
  </si>
  <si>
    <t>E zasun (kratki) DN 100</t>
  </si>
  <si>
    <t xml:space="preserve">MMA komad za PEHD cijevi DN 110/DN 100 </t>
  </si>
  <si>
    <t xml:space="preserve">MMA komad za cijevi od nodularnog lijeva DN 300/DN 100 </t>
  </si>
  <si>
    <t xml:space="preserve">N komad DN 100 </t>
  </si>
  <si>
    <t>Nadzemni hidrant DN 100, Rd = 1,5 m</t>
  </si>
  <si>
    <t>Odzračno - dozračne garniture DN 80 mm</t>
  </si>
  <si>
    <t>MMA komad PEHD DN 110/DN 80</t>
  </si>
  <si>
    <t>FFR komad DN 100/DN 80</t>
  </si>
  <si>
    <t>Nosač i cestovna kapa za odzračno - dozračnu garnituru</t>
  </si>
  <si>
    <t>Križanje cjevovoda s prometnicama - PROLAZ PREKOPAVANJEM</t>
  </si>
  <si>
    <t>PREKOP PROMETNICE</t>
  </si>
  <si>
    <t>MONTAŽA PLASTIČNIH PRSTENOVA</t>
  </si>
  <si>
    <t>MONTAŽA Z BRTVI OKO ZAŠTITNE I PRODUKTIVNE CIJEVI</t>
  </si>
  <si>
    <t>Prekop za produktnu cijev PEHD DN 110</t>
  </si>
  <si>
    <t>Z brtve za produktnu cijev PEHD DN 110</t>
  </si>
  <si>
    <t>Plastični prstenovi h=75 mm, klizači tipa F za cijev PEHD DN 110</t>
  </si>
  <si>
    <t>MONTAŽA DVODJELNIH OBUJMICA</t>
  </si>
  <si>
    <t>Križanje cjevovoda s vodotocima - PROLAZ PREKOPAVANJEM</t>
  </si>
  <si>
    <t>Križanje cjevovoda s prometnicama - KRIŽANJE HIDRAULIČKIM BUŠENJEM</t>
  </si>
  <si>
    <t>Iskop građevne jame za postavljanje opreme za bušenje</t>
  </si>
  <si>
    <t>1.8.1</t>
  </si>
  <si>
    <t>1.8.2</t>
  </si>
  <si>
    <t xml:space="preserve">Zatrpavanje građevne jame materijalom iz iskopa </t>
  </si>
  <si>
    <t>1.8.3</t>
  </si>
  <si>
    <t>AB uporišta betonom C 25/30</t>
  </si>
  <si>
    <t>BUŠENJE ISPOD PROMETNICE</t>
  </si>
  <si>
    <t>1.8.4</t>
  </si>
  <si>
    <t>Hidrauličko bušenje za produktnu PEHD DN 110 cijev</t>
  </si>
  <si>
    <t>1.8.5</t>
  </si>
  <si>
    <t>1.8.6</t>
  </si>
  <si>
    <t>Hidrauličko bušenje za produktnu cijev od nodularnog lijeva DN 300</t>
  </si>
  <si>
    <t>1.8.7</t>
  </si>
  <si>
    <t>Dvodjelne obujmice za cijev DN 300 od nodularnog lijeva</t>
  </si>
  <si>
    <t>1.8.7.1</t>
  </si>
  <si>
    <t xml:space="preserve">Označavanje zasunskih okana i nadzemnih hidranata na trasi cjevovoda </t>
  </si>
  <si>
    <t>Ugradnja pločice na hidrante</t>
  </si>
  <si>
    <t>Ugradnja čelićnih stupića s pločicom(okna)</t>
  </si>
  <si>
    <t>2.10.17.</t>
  </si>
  <si>
    <t>Priključenje na postojeću mrežu</t>
  </si>
  <si>
    <t>Izrada i montaža vodovodnih kućnih priključaka</t>
  </si>
  <si>
    <t>Izrada i ugradnja kanalizacijskih kućnih priključaka</t>
  </si>
  <si>
    <t>Tlačno ispitivanje vodovodnog cjevovoda</t>
  </si>
  <si>
    <t>PEHD DN 110 mm</t>
  </si>
  <si>
    <t>Nodularni lijev DN 300 mm</t>
  </si>
  <si>
    <t>Dezinfekcija cjevovoda</t>
  </si>
  <si>
    <t>1.8.10.</t>
  </si>
  <si>
    <t>Ispiranje cjevovoda</t>
  </si>
  <si>
    <t>Ispitivanje hidranata</t>
  </si>
  <si>
    <t>2.10.11.</t>
  </si>
  <si>
    <t>zaštita postojećih instalacija HŽ-a</t>
  </si>
  <si>
    <t>spojnica za PES cijev DN 350, ∅v=476 mm, ∅u=434 mm, s= 22 mm, SN 100000 N/m2</t>
  </si>
  <si>
    <t>2.9.16</t>
  </si>
  <si>
    <t>2.9.16.2.1</t>
  </si>
  <si>
    <t>2.9.16.2.2</t>
  </si>
  <si>
    <t>2.9.16.2.3</t>
  </si>
  <si>
    <t>2.9.16.2.4</t>
  </si>
  <si>
    <t>2.9.16.2.5</t>
  </si>
  <si>
    <t>PEHD cijev DN 160 mm, PN 10 bar</t>
  </si>
  <si>
    <t>2.9.16.3.2.</t>
  </si>
  <si>
    <t>Fazonski komadi za nadzemni hidrant DN 100</t>
  </si>
  <si>
    <t>MMA komad DN 110/DN 100</t>
  </si>
  <si>
    <t>MMA komad DN 160/DN 100</t>
  </si>
  <si>
    <t>PEHD cijev DN 110 mm; PN 16 bara; s = 10,0 mm; SRD 11, l = 1000 mm</t>
  </si>
  <si>
    <t>MMA komad DN 110/DN 80</t>
  </si>
  <si>
    <t>N komad DN 80</t>
  </si>
  <si>
    <t>Z brtve za produktnu cijev od nodularnog lijeva DN 300</t>
  </si>
  <si>
    <t>Prekop za produktnu cijev PEHD DN 160</t>
  </si>
  <si>
    <t>Plastični prstenovi h=90 mm, klizači tipa M za cijev PEHD DN 160</t>
  </si>
  <si>
    <t>Z brtve za produktnu cijev PEHD DN 160</t>
  </si>
  <si>
    <t>Križanje cjevovoda sa željezničkom prugom - PROLAZ HIDRAULIČKIM BUŠENJEM</t>
  </si>
  <si>
    <t xml:space="preserve">Hidrauličko bušenje za produktnu PEHD cijev DN 160 </t>
  </si>
  <si>
    <t>PEHD DN 160 mm</t>
  </si>
  <si>
    <t>Kućni prilazi širine 1.0 m</t>
  </si>
  <si>
    <t>Kućni prilazi širine 2.5 m</t>
  </si>
  <si>
    <t>Debljina 25 cm</t>
  </si>
  <si>
    <t>1.4.2.4</t>
  </si>
  <si>
    <t>1.4.2.5</t>
  </si>
  <si>
    <t>1.4.2.6</t>
  </si>
  <si>
    <t>1.4.2.7</t>
  </si>
  <si>
    <t>1.5.3.4.3</t>
  </si>
  <si>
    <t>1.5.3.5</t>
  </si>
  <si>
    <t>1.5.3.6</t>
  </si>
  <si>
    <t>1.5.3.7</t>
  </si>
  <si>
    <t>1.5.3.7.1</t>
  </si>
  <si>
    <t>1.5.3.7.2</t>
  </si>
  <si>
    <t>1.5.3.7.3</t>
  </si>
  <si>
    <t>Obnova zemljanog prilaza</t>
  </si>
  <si>
    <t>Završna Z brtva za zaštitnu PEHD cijev DN 225 mm i produktovodnu cijev PEHD DN 110</t>
  </si>
  <si>
    <t>Završna Z brtva za zaštitnu PEHD cijev DN 225 mm i produktovodnu cijev PEHD DN 160</t>
  </si>
  <si>
    <t>Završna Z brtva za zaštitnu PEHD cijev DN 225 mm i produktovodnu cijev od nodularnog lijeva DN 150</t>
  </si>
  <si>
    <r>
      <t xml:space="preserve">Obnova makadamskog prilaza i </t>
    </r>
    <r>
      <rPr>
        <b/>
        <sz val="11"/>
        <rFont val="Tahoma"/>
        <family val="2"/>
      </rPr>
      <t>propusta</t>
    </r>
    <r>
      <rPr>
        <sz val="11"/>
        <rFont val="Tahoma"/>
        <family val="2"/>
      </rPr>
      <t xml:space="preserve"> prosječne širine 2.5m i dužine </t>
    </r>
    <r>
      <rPr>
        <b/>
        <sz val="11"/>
        <rFont val="Tahoma"/>
        <family val="2"/>
      </rPr>
      <t>5m</t>
    </r>
  </si>
  <si>
    <r>
      <t xml:space="preserve">Obnova betonskog prilaza i </t>
    </r>
    <r>
      <rPr>
        <b/>
        <sz val="11"/>
        <rFont val="Tahoma"/>
        <family val="2"/>
      </rPr>
      <t>propusta</t>
    </r>
    <r>
      <rPr>
        <sz val="11"/>
        <rFont val="Tahoma"/>
        <family val="2"/>
      </rPr>
      <t xml:space="preserve"> prosječne širine 2.5m i dužine </t>
    </r>
    <r>
      <rPr>
        <b/>
        <sz val="11"/>
        <rFont val="Tahoma"/>
        <family val="2"/>
      </rPr>
      <t>5m</t>
    </r>
  </si>
  <si>
    <r>
      <t xml:space="preserve">Obnova asfaltnog prilaza i </t>
    </r>
    <r>
      <rPr>
        <b/>
        <sz val="11"/>
        <rFont val="Tahoma"/>
        <family val="2"/>
      </rPr>
      <t>propusta</t>
    </r>
    <r>
      <rPr>
        <sz val="11"/>
        <rFont val="Tahoma"/>
        <family val="2"/>
      </rPr>
      <t xml:space="preserve"> prosječne širine 2.5m i dužine </t>
    </r>
    <r>
      <rPr>
        <b/>
        <sz val="11"/>
        <rFont val="Tahoma"/>
        <family val="2"/>
      </rPr>
      <t>5m</t>
    </r>
  </si>
  <si>
    <r>
      <t xml:space="preserve">Obnova zemljanog prilaza i </t>
    </r>
    <r>
      <rPr>
        <b/>
        <sz val="11"/>
        <rFont val="Tahoma"/>
        <family val="2"/>
      </rPr>
      <t>propusta</t>
    </r>
    <r>
      <rPr>
        <sz val="11"/>
        <rFont val="Tahoma"/>
        <family val="2"/>
      </rPr>
      <t xml:space="preserve"> prosječne širine 2.5m i dužine </t>
    </r>
    <r>
      <rPr>
        <b/>
        <sz val="11"/>
        <rFont val="Tahoma"/>
        <family val="2"/>
      </rPr>
      <t>5m</t>
    </r>
  </si>
  <si>
    <t>spojnica za PES cijev DN 350, ∅v=376 mm, ∅u=360 mm, s= 21,5 mm, SN 10000 N/m3</t>
  </si>
  <si>
    <t>EV zasun s ručnim kolom DN 80</t>
  </si>
  <si>
    <t>EV zasun s ručnim kolom DN 100</t>
  </si>
  <si>
    <t>EV zasun s ručnim kolom DN 150</t>
  </si>
  <si>
    <t>TT komad DN 150</t>
  </si>
  <si>
    <t>T komad DN 150/DN 80</t>
  </si>
  <si>
    <t>EU komad DN 150</t>
  </si>
  <si>
    <t>Automatski odzračno - dozračni ventil PN 1-16 bara</t>
  </si>
  <si>
    <t>T komad DN 150/100 mm</t>
  </si>
  <si>
    <t>T komad DN 100/100 mm</t>
  </si>
  <si>
    <t>EV zasun (s ručnim kolom) DN 100</t>
  </si>
  <si>
    <t>T komad DN 150/80 mm, PN 10 bara</t>
  </si>
  <si>
    <t>T komad DN 100/80 mm, PN 10 bara</t>
  </si>
  <si>
    <t>Q komad DN 80 mm, PN 10 bara</t>
  </si>
  <si>
    <t>Odzračno - dozračna garnitura DN 80</t>
  </si>
  <si>
    <t>Hidrostanica Q=13.0 l/s, H=58.0m</t>
  </si>
  <si>
    <t xml:space="preserve">Prekop za produktnu cijev N.L. DN 300 </t>
  </si>
  <si>
    <t xml:space="preserve">Dvodjelne obujmice za cijev N.L. DN 300 </t>
  </si>
  <si>
    <t xml:space="preserve">Z brtve za produktnu cijev N.L. DN 300 </t>
  </si>
  <si>
    <t>Plastični prstenovi h=60 mm, klizači tipa F+G za cijev PEHD DN 110</t>
  </si>
  <si>
    <t xml:space="preserve">Z brtve za produktnu cijev PEHD DN 110 </t>
  </si>
  <si>
    <t>Križanje cjevovoda s prometnicama - BEZROVNA UGRADNJA</t>
  </si>
  <si>
    <t>Plastični prstenovi h=75 mm, klizači tipa F+G za cijev PEHD DN 110</t>
  </si>
  <si>
    <t xml:space="preserve">Hidrauličko bušenje za produktnu PEHD cijev DN 110 </t>
  </si>
  <si>
    <t>Priključenje projektiranih vodoopskrbnih cjevovoda na  postojeće zasunsko okno, postojeću mrežu ili hidrant</t>
  </si>
  <si>
    <t>Priključenje na postojeći nadzemni hidrant</t>
  </si>
  <si>
    <t>Priključenje na postojeće zasunsko okno</t>
  </si>
  <si>
    <t>Spajanje vodoopskrbe stanice na postojeću vodoopskrbnu mrežu</t>
  </si>
  <si>
    <t>Ispiranje cjevovoda u m3</t>
  </si>
  <si>
    <t>Ispiranje cjevovoda u m'</t>
  </si>
  <si>
    <t>Probijanje i naknadno zatvaranje otvora za cijev u AB zidu</t>
  </si>
  <si>
    <t>1.3.7.1</t>
  </si>
  <si>
    <t>1.3.7.2</t>
  </si>
  <si>
    <t>Obnova i uređenje bankine</t>
  </si>
  <si>
    <t>X komad DN 200 (demontaža)</t>
  </si>
  <si>
    <t>FFK komad DN 300, α=45°</t>
  </si>
  <si>
    <t>Prirubnica za PEHD DN 100</t>
  </si>
  <si>
    <t>Elektro tuljak PEHD DN 100</t>
  </si>
  <si>
    <t>Elektro spojnica PEHD DN 100</t>
  </si>
  <si>
    <t>Elektro čep - kraj odvojka PEHD DN 100</t>
  </si>
  <si>
    <t>MMB komad DN 110/90</t>
  </si>
  <si>
    <t>PEHD DN 90/80-odmak</t>
  </si>
  <si>
    <t>Ugradbena garnitura zasuna DN 100</t>
  </si>
  <si>
    <t>Ugradbena garnitura zasuna DN 80</t>
  </si>
  <si>
    <t>Ulična kapa za zasune</t>
  </si>
  <si>
    <t>Okrugla kapa s betonskom glavom 50*50*10</t>
  </si>
  <si>
    <t xml:space="preserve">N komad DN 80 </t>
  </si>
  <si>
    <t>FF komad DN 80, L = 800 mm</t>
  </si>
  <si>
    <t>Q komad DN 80, 90°</t>
  </si>
  <si>
    <t>Betonski, armiranobetonski, zidarski i i izolaterski radovi</t>
  </si>
  <si>
    <t>Izolacija bitumenom</t>
  </si>
  <si>
    <t>Vertikalna i horizontalna hidroizolacija ZO</t>
  </si>
  <si>
    <t>Zaštitni sitnozrni beton</t>
  </si>
  <si>
    <t>2.5.19.13</t>
  </si>
  <si>
    <t>Izrada premaza</t>
  </si>
  <si>
    <t>Izolacija ZO vodonepropusnim premazom na bazi kvarcnog pijeska</t>
  </si>
  <si>
    <t>2.10.21.</t>
  </si>
  <si>
    <t>Obračun po komadu ugrađene opeke</t>
  </si>
  <si>
    <t>Obračun po komadu obzidanog hidranta</t>
  </si>
  <si>
    <t>Uređenje zone zahvata nakon izvođenja radova</t>
  </si>
  <si>
    <t>2.10.25.</t>
  </si>
  <si>
    <t>Izrada donjeg nosivog sloja od tucanika</t>
  </si>
  <si>
    <t>PVC uložak s 2 ringa</t>
  </si>
  <si>
    <t>Tipske vdp brtve</t>
  </si>
  <si>
    <t>2.10.26.</t>
  </si>
  <si>
    <t>Betonske cijevi DN 300 mm + obložni beton</t>
  </si>
  <si>
    <t>Betonske cijevi DN 400 mm + obložni beton</t>
  </si>
  <si>
    <t>Betonske cijevi DN 500 mm + obložni beton</t>
  </si>
  <si>
    <t>Betonske cijevi DN 600 mm + obložni beton</t>
  </si>
  <si>
    <t>Strojna bušenja u zaštitnoj koloni</t>
  </si>
  <si>
    <t>ŽC m'9</t>
  </si>
  <si>
    <t>LC m'7</t>
  </si>
  <si>
    <t>Kolni ulazi i dr. m'6</t>
  </si>
  <si>
    <t>2.10.27.</t>
  </si>
  <si>
    <t>E2/f5 zasun DN100</t>
  </si>
  <si>
    <t>T DN 100/2'' X 500 mm</t>
  </si>
  <si>
    <t>Odzračni ventil s prirubnicom</t>
  </si>
  <si>
    <t>LC m'6</t>
  </si>
  <si>
    <t>1.6.14</t>
  </si>
  <si>
    <t>1.6.7.1</t>
  </si>
  <si>
    <t>Obnova makadamskog prilaza i propusta</t>
  </si>
  <si>
    <t>1.4.2.8</t>
  </si>
  <si>
    <t>1.4.2.9</t>
  </si>
  <si>
    <t>1.4.2.10</t>
  </si>
  <si>
    <r>
      <t xml:space="preserve">Obnova makadamskog prilaza i </t>
    </r>
    <r>
      <rPr>
        <b/>
        <sz val="11"/>
        <rFont val="Tahoma"/>
        <family val="2"/>
        <charset val="238"/>
      </rPr>
      <t>propusta</t>
    </r>
    <r>
      <rPr>
        <sz val="11"/>
        <rFont val="Tahoma"/>
        <family val="2"/>
        <charset val="238"/>
      </rPr>
      <t xml:space="preserve"> prosječne širine 2.5m i dužine </t>
    </r>
    <r>
      <rPr>
        <b/>
        <sz val="11"/>
        <rFont val="Tahoma"/>
        <family val="2"/>
        <charset val="238"/>
      </rPr>
      <t>5m</t>
    </r>
  </si>
  <si>
    <r>
      <t xml:space="preserve">Obnova betonskog prilaza i </t>
    </r>
    <r>
      <rPr>
        <b/>
        <sz val="11"/>
        <rFont val="Tahoma"/>
        <family val="2"/>
        <charset val="238"/>
      </rPr>
      <t>propusta</t>
    </r>
    <r>
      <rPr>
        <sz val="11"/>
        <rFont val="Tahoma"/>
        <family val="2"/>
        <charset val="238"/>
      </rPr>
      <t xml:space="preserve"> prosječne širine 2.5m i dužine </t>
    </r>
    <r>
      <rPr>
        <b/>
        <sz val="11"/>
        <rFont val="Tahoma"/>
        <family val="2"/>
        <charset val="238"/>
      </rPr>
      <t>5m</t>
    </r>
  </si>
  <si>
    <r>
      <t xml:space="preserve">Obnova asfaltnog prilaza i </t>
    </r>
    <r>
      <rPr>
        <b/>
        <sz val="11"/>
        <rFont val="Tahoma"/>
        <family val="2"/>
        <charset val="238"/>
      </rPr>
      <t>propusta</t>
    </r>
    <r>
      <rPr>
        <sz val="11"/>
        <rFont val="Tahoma"/>
        <family val="2"/>
        <charset val="238"/>
      </rPr>
      <t xml:space="preserve"> prosječne širine 2.5m i dužine </t>
    </r>
    <r>
      <rPr>
        <b/>
        <sz val="11"/>
        <rFont val="Tahoma"/>
        <family val="2"/>
        <charset val="238"/>
      </rPr>
      <t>5m</t>
    </r>
  </si>
  <si>
    <r>
      <rPr>
        <sz val="11"/>
        <rFont val="Symbol"/>
        <family val="1"/>
        <charset val="2"/>
      </rPr>
      <t>f</t>
    </r>
    <r>
      <rPr>
        <sz val="11"/>
        <rFont val="Tahoma"/>
        <family val="2"/>
        <charset val="238"/>
      </rPr>
      <t xml:space="preserve"> 600 mm - nosivosti 400 kN </t>
    </r>
  </si>
  <si>
    <t>2.7.7.2.</t>
  </si>
  <si>
    <t>2.3.21.8.</t>
  </si>
  <si>
    <t>2.3.21.9.</t>
  </si>
  <si>
    <t>2.3.21.10.</t>
  </si>
  <si>
    <t>2.3.21.11.</t>
  </si>
  <si>
    <t>2.3.21.12.</t>
  </si>
  <si>
    <t>1.3.2.1</t>
  </si>
  <si>
    <t>1.3.2.2</t>
  </si>
  <si>
    <t>Zaštita građevne jame od urušavanja</t>
  </si>
  <si>
    <t>1.3.2.3</t>
  </si>
  <si>
    <t xml:space="preserve">Transport čeličnih talpi i stroja </t>
  </si>
  <si>
    <t>2.4.19.3</t>
  </si>
  <si>
    <t>2.4.19.4</t>
  </si>
  <si>
    <t>2.4.19.5</t>
  </si>
  <si>
    <t>AB OKNA</t>
  </si>
  <si>
    <t>Betonski, armiranobetonski i izolaterski radovi</t>
  </si>
  <si>
    <t>2.5.59.</t>
  </si>
  <si>
    <t>2.9.22.</t>
  </si>
  <si>
    <t>Izrada dna okna C30/37</t>
  </si>
  <si>
    <t>Izrada bet. zidova okna C 30/37</t>
  </si>
  <si>
    <t>Izrada AB ploče okna C 30/37</t>
  </si>
  <si>
    <t>CRPNE STANICE - građevinski radovi</t>
  </si>
  <si>
    <t>CS Veliki Potočec</t>
  </si>
  <si>
    <t>CS Mali Potočec 1</t>
  </si>
  <si>
    <t>CS Mali Potočec 2</t>
  </si>
  <si>
    <t>CS Mladine</t>
  </si>
  <si>
    <t>CS Majurec</t>
  </si>
  <si>
    <t>CS Lemeš Križevački</t>
  </si>
  <si>
    <t>CS Poljana 1</t>
  </si>
  <si>
    <t>CS Poljana 3</t>
  </si>
  <si>
    <t>CS Poljana 4</t>
  </si>
  <si>
    <t>CS Gračina</t>
  </si>
  <si>
    <t>CS Bukovje</t>
  </si>
  <si>
    <t>CS Prikraj 1</t>
  </si>
  <si>
    <t>CS Prikraj 2</t>
  </si>
  <si>
    <t>CS Brckovčina 1</t>
  </si>
  <si>
    <t>CS Brckovčina 2</t>
  </si>
  <si>
    <t>CS Radnički Dol</t>
  </si>
  <si>
    <t>CS Sifon 4</t>
  </si>
  <si>
    <t>Lociranje i označavanje trasa postojećih instalacija</t>
  </si>
  <si>
    <t>Drveće i panjevi promjera od 10 cm do 30 cm promjera</t>
  </si>
  <si>
    <t>4.3.1</t>
  </si>
  <si>
    <t>Voda</t>
  </si>
  <si>
    <t>SANACIJSKI I ZAVRŠNI RADOVI</t>
  </si>
  <si>
    <t>Osiguranje prometa za vrijeme izvođenja radova</t>
  </si>
  <si>
    <t>1.8.2./ 2.3./ 2.3.20.</t>
  </si>
  <si>
    <t>2.3.20.</t>
  </si>
  <si>
    <t>UKLANJANJE I OBNOVA KOLNIKA</t>
  </si>
  <si>
    <t>Kombinacija asfalt i beton</t>
  </si>
  <si>
    <t>Ispitivanje vodonepropusnosti crpne stanice i tlačnih cjevovoda</t>
  </si>
  <si>
    <t>Izrada habajućeg sloja</t>
  </si>
  <si>
    <t>Zatrpavanje oko crpne stanice zamjenskim materijalom</t>
  </si>
  <si>
    <t>Betonska obloga/podloge/zaštitni beton/nespecificirana betoniranja C 16/20</t>
  </si>
  <si>
    <t>Betonska obloga/podloge/zaštitni beton/nespecificirana betoniranja</t>
  </si>
  <si>
    <t>Betonska obloga/podloge/zaštitni beton/nespecificirana betoniranja C 25/30</t>
  </si>
  <si>
    <t>Zatrpavanje oko crpne stanice materijalom iz iskopa</t>
  </si>
  <si>
    <t>4.1.1</t>
  </si>
  <si>
    <t>4.1.2</t>
  </si>
  <si>
    <t>4.1.3</t>
  </si>
  <si>
    <t>4.1.4</t>
  </si>
  <si>
    <t>4.1.5</t>
  </si>
  <si>
    <t>4.2.2</t>
  </si>
  <si>
    <t>4.2.3</t>
  </si>
  <si>
    <t>4.2.4</t>
  </si>
  <si>
    <t>4.2.4.1</t>
  </si>
  <si>
    <t>4.2.5</t>
  </si>
  <si>
    <t>4.2.5.1</t>
  </si>
  <si>
    <t>4.2.6</t>
  </si>
  <si>
    <t>4.4.1</t>
  </si>
  <si>
    <t>4.4.2</t>
  </si>
  <si>
    <t>4.4.2.1</t>
  </si>
  <si>
    <t>4.4.3</t>
  </si>
  <si>
    <t>4.4.4</t>
  </si>
  <si>
    <t>4.4.4.1</t>
  </si>
  <si>
    <t>4.5.3</t>
  </si>
  <si>
    <t>4.6.</t>
  </si>
  <si>
    <t>4.6.1</t>
  </si>
  <si>
    <t>4.6.1.1</t>
  </si>
  <si>
    <t xml:space="preserve">Križanje gravitacijskih kanala s prometnicama - Izvedba bušenjem terena ispod trupa prometnice </t>
  </si>
  <si>
    <t>Križanje gravitacijskih kanala s prometnicama - Izvedba prekopom terena u trupu prometnice</t>
  </si>
  <si>
    <t>NN ili SN prikljucci HEP-a</t>
  </si>
  <si>
    <t>postojeći priključci slivnika cestovne odvodnje</t>
  </si>
  <si>
    <t>Uklanjanje zasunskih okana</t>
  </si>
  <si>
    <t>2.3.9.9.</t>
  </si>
  <si>
    <t>Izrada donjeg nosivog tamponskog sloja od tucanika d=40 cm</t>
  </si>
  <si>
    <t>Obnova makadamskog zastora i bankine</t>
  </si>
  <si>
    <t>Betonske cijevi DN 800 mm + obložni beton</t>
  </si>
  <si>
    <t>Betonske cijevi DN 1000 mm + obložni beton</t>
  </si>
  <si>
    <t>Vađenje,  čišćenje i ponovna ugradba postojećih betonskih opločnika</t>
  </si>
  <si>
    <t xml:space="preserve">Ugradnja novh betonskih opločnika </t>
  </si>
  <si>
    <t>Betonski opločnici (za teški promet)  vel. 10 x 20 x 8 cm</t>
  </si>
  <si>
    <t>spojnica za PES cijev DN 350, ∅v=478 mm, ∅u=434mm, s= 22 mm, SN 100000 N/m2</t>
  </si>
  <si>
    <t>spojnica za PES cijev DN 400, ∅v=501 mm, ∅u=453 mm, s= 24 mm, SN 100000 N/m2</t>
  </si>
  <si>
    <t>PREKOP VODOTOKA</t>
  </si>
  <si>
    <t>Hidrauličko bušenje za produktnu cijev od nodularnog lijeva DN 200</t>
  </si>
  <si>
    <t>Plastični prstenovi h=60 mm, klizači tipa F/G za cijev od nodularnog lijeva DN 200</t>
  </si>
  <si>
    <t>Z brtve za produktnu cijev od nodularnog lijeva DN 200</t>
  </si>
  <si>
    <t>Izrada/rekonstrukcija vodovodnih kućnih priključaka</t>
  </si>
  <si>
    <t>Prespajanje postojećih kućnih priključaka na novo izvedene vodoopskrbne cjevovode</t>
  </si>
  <si>
    <t>Vađenje i zbrinjavanje postojećih vodoopskrbnih cjevovoda</t>
  </si>
  <si>
    <t>Nodularni lijev DN 200 mm</t>
  </si>
  <si>
    <t xml:space="preserve">postojeći kanalizacijski priključci </t>
  </si>
  <si>
    <t>Drveće i panjevi promjera od 30 cm do 50 cm promjera</t>
  </si>
  <si>
    <t>Geodetski radovi - iskolčenje</t>
  </si>
  <si>
    <t>Plin</t>
  </si>
  <si>
    <t>HEP</t>
  </si>
  <si>
    <t>TK</t>
  </si>
  <si>
    <t xml:space="preserve">Izmještanje postojećih instalacija </t>
  </si>
  <si>
    <t xml:space="preserve">Rezanje postojećeg zastora </t>
  </si>
  <si>
    <t>2.7.3.3.</t>
  </si>
  <si>
    <t>Izrada pristupnog platoa crpne stanice</t>
  </si>
  <si>
    <t>Izvedba A.B. vijenca C 30/37</t>
  </si>
  <si>
    <t>Kontrola zbijenosti</t>
  </si>
  <si>
    <t>2.7.17.</t>
  </si>
  <si>
    <t>Izrada nosivo-habajućeg sloja</t>
  </si>
  <si>
    <t>AC 16 surf 50/70 d=6 cm</t>
  </si>
  <si>
    <t>AC 22 base 50/70 d=7cm</t>
  </si>
  <si>
    <t>BBTM 8 d=3cm</t>
  </si>
  <si>
    <t>4.4.5</t>
  </si>
  <si>
    <t>Obnova horizontalne signalizacije</t>
  </si>
  <si>
    <t>4.4.6</t>
  </si>
  <si>
    <t>2.7.7.4.</t>
  </si>
  <si>
    <t>2.7.7.3.</t>
  </si>
  <si>
    <t>Izvedba betonskog okna CS C 30/37</t>
  </si>
  <si>
    <t>4.4.4.2</t>
  </si>
  <si>
    <t>Specijalističko VT hidrodinamičko čišćenje i ispiranje kanalizacijskih cjevovoda</t>
  </si>
  <si>
    <t>2.3.35.</t>
  </si>
  <si>
    <t>Specijalističko VT hidrodinamičko čišćenje i ispiranje revizionih okana</t>
  </si>
  <si>
    <t>2.3.36.</t>
  </si>
  <si>
    <t>Izvlačenje i zbrinjavanje taložnog otpadnog materijala</t>
  </si>
  <si>
    <t>Sječenje postojećih dotrajalih penjalica</t>
  </si>
  <si>
    <t xml:space="preserve">Razbijanje postojećeg nosača </t>
  </si>
  <si>
    <t>2.3.37.</t>
  </si>
  <si>
    <t>2.3.38.</t>
  </si>
  <si>
    <t>2.3.39.</t>
  </si>
  <si>
    <t>Sanacija postojećih kolektora</t>
  </si>
  <si>
    <t>Statički proračun zamjenske cijevi (linera)</t>
  </si>
  <si>
    <t>DN 300</t>
  </si>
  <si>
    <t>DN 400</t>
  </si>
  <si>
    <t>DN 500</t>
  </si>
  <si>
    <t>DN 800</t>
  </si>
  <si>
    <t>Sanacija postojećih direktnih priključaka na kolektor</t>
  </si>
  <si>
    <t>Sanacija spoja cijevi lateralnih priključaka na glavni kolektor</t>
  </si>
  <si>
    <t>Sanacija postojećih revizornih i slivničkih okana</t>
  </si>
  <si>
    <t>1.7.4</t>
  </si>
  <si>
    <t>Revizijsko okno</t>
  </si>
  <si>
    <t>Slivničko okno</t>
  </si>
  <si>
    <t>2.5.6.4.</t>
  </si>
  <si>
    <t>AB nosivi vijenac C 25/30</t>
  </si>
  <si>
    <t>Slivnička okna</t>
  </si>
  <si>
    <t>CS "BUKOVJE"</t>
  </si>
  <si>
    <t>CS "GRAČINA"</t>
  </si>
  <si>
    <t>CS "MAJUREC"</t>
  </si>
  <si>
    <t>CS "MALI POTOČEC 1"</t>
  </si>
  <si>
    <t>CS "MALI POTOČEC 2"</t>
  </si>
  <si>
    <t>CS "MLADINE"</t>
  </si>
  <si>
    <t>CS "POLJANA 1"</t>
  </si>
  <si>
    <t>CS "POLJANA 3"</t>
  </si>
  <si>
    <t>CS "POLJANA 4"</t>
  </si>
  <si>
    <t>CS "PRIKRAJ 1"</t>
  </si>
  <si>
    <t>CS "PRIKRAJ 2"</t>
  </si>
  <si>
    <t>CS "RADNIČKI DOL"</t>
  </si>
  <si>
    <t>CS "VELIKI POTOČEC"</t>
  </si>
  <si>
    <t>UKUPNA CIJENA
[HRK]</t>
  </si>
  <si>
    <t>Priključak na niskonaponsku mrežu</t>
  </si>
  <si>
    <t>Spajanje opreme crpne stanice</t>
  </si>
  <si>
    <t>Spajanje opreme stanice u razvodnom ormaru na pripremljena mjesta. Spajanje se vrši kabelima koji dolaze u komletima s opremom, bez rezanja ili produživanja, izravno na redne stezaljke razvodnog ormara.</t>
  </si>
  <si>
    <t>Atesna dokumentacija</t>
  </si>
  <si>
    <t>Mjerenje električne instalacije i izrada atestne dokumentacije</t>
  </si>
  <si>
    <t>CRPNA STANICA
 ''VELIKI POTOČEC''</t>
  </si>
  <si>
    <t>CRPNA STANICA
 ''MALI POTOČEC 1''</t>
  </si>
  <si>
    <t>CRPNA STANICA
 ''MALI POTOČEC 2''</t>
  </si>
  <si>
    <t>CRPNA STANICA "MLADINE"</t>
  </si>
  <si>
    <t>CRPNA STANICA "MAJUREC"</t>
  </si>
  <si>
    <t>CRPNA STANICA
 ''LEMEŠ KRIŽEVAČKI''</t>
  </si>
  <si>
    <t>CRPNA STANICA 
''POLJANA 1''</t>
  </si>
  <si>
    <t>CRPNA STANICA 
''POLJANA 3''</t>
  </si>
  <si>
    <t>CRPNA STANICA 
''POLJANA 4''</t>
  </si>
  <si>
    <t>CRPNA STANICA
 ''GRAČINA''</t>
  </si>
  <si>
    <t>CRPNA STANICA 
''BUKOVJE''</t>
  </si>
  <si>
    <t>CPRNA STANICA 
"PRIKRAJ 1"</t>
  </si>
  <si>
    <t>CPRNA STANICA 
"PRIKRAJ 2"</t>
  </si>
  <si>
    <t>CRPNA STANICA "BRKOVČINA 1"</t>
  </si>
  <si>
    <t>CRPNA STANICA "BRKOVČINA 2"</t>
  </si>
  <si>
    <t>CRPNA STANICA "RADNIČKI DOL"</t>
  </si>
  <si>
    <t>CRPNE STANICE U SUHOJ IZVEDBI</t>
  </si>
  <si>
    <t>OKNO CRPNE STANICE U SUHOJ IZVEDBI</t>
  </si>
  <si>
    <t>Okno crpne stanice "Veliki Potočec"</t>
  </si>
  <si>
    <t>Okno crpne stanice "Mali Potoče 1"</t>
  </si>
  <si>
    <t>Okno crpne stanice "Mali Potoče 2"</t>
  </si>
  <si>
    <t>Okno crpne stanice "Mladine"</t>
  </si>
  <si>
    <t>Okno crpne stanice "Majurec"</t>
  </si>
  <si>
    <t>Okno crpne stanice "Lemeš Križevački"</t>
  </si>
  <si>
    <t xml:space="preserve"> Okno crpne stanice "Poljana 1"</t>
  </si>
  <si>
    <t>Okno crpne stanice "Poljana 3"</t>
  </si>
  <si>
    <t>Okno crpne stanice "Poljana 4"</t>
  </si>
  <si>
    <t>Okno crpne stanice "Gračina"</t>
  </si>
  <si>
    <t>Okno crpne stanice "Bukovje"</t>
  </si>
  <si>
    <t>Okno crpne stanice "Prikraj 1"</t>
  </si>
  <si>
    <t>Okno crpne stanice "Prikraj 2"</t>
  </si>
  <si>
    <t>Okno crpne stanice "Brkovčina 1"</t>
  </si>
  <si>
    <t>Okno crpne stanice "Brkovčina 2"</t>
  </si>
  <si>
    <t>Okno crpne stanice "Radnički dol"</t>
  </si>
  <si>
    <t>CRPNE STANICE U SUHOJ IZVEDBI U BETONSKOM OKNU
CS "SIFON 4"</t>
  </si>
  <si>
    <t>Y cijev DN100 sa prirubničkim tlačnim priključkom DN 100, PN10</t>
  </si>
  <si>
    <t>Nepovratni ventil DN 100</t>
  </si>
  <si>
    <t>Nabava, doprema i ugradnja ventilacione pocinčane čelične cijevi DN100 mm, debljine stijenke 4 mm s "lulom". Cijev je visine cca 1 m iznad gornje ploče crpne stanice. U slučaju da se cijev ugrađuje bočno u crpnu stanicu i prolazi kroz zemlju,  cijev je potrebno zaštititi bitumenskom trakom od početka do 0,5 m iznad terena. Ugradnju i nabavu hidroizolacije cijevi uračunati u jediničnu cijenu stavke. Obračun po m' cijevi ventilacije.</t>
  </si>
  <si>
    <t>m</t>
  </si>
  <si>
    <t>REKONSTRUKCIJA VODOVODA - strojarski radovi</t>
  </si>
  <si>
    <t>Tomislavova
dionica D1</t>
  </si>
  <si>
    <t xml:space="preserve">Bjelovarska  - Donji Cubinec
dionica D1 </t>
  </si>
  <si>
    <t xml:space="preserve">Cubinec
dionica D1.1 
</t>
  </si>
  <si>
    <t xml:space="preserve">Tomislavova - željeznička stanica 
dionica D1.2 
</t>
  </si>
  <si>
    <t xml:space="preserve">Sv Florijan - Zagrebačka
dionica D3 
</t>
  </si>
  <si>
    <t xml:space="preserve">F. Gundruma
dionica D3.3
</t>
  </si>
  <si>
    <t xml:space="preserve">F. Galovića
dionica D3.5
</t>
  </si>
  <si>
    <t xml:space="preserve">F. Gundruma
dionica D3.5.1
</t>
  </si>
  <si>
    <t xml:space="preserve">Crni put
dionica D3.6
</t>
  </si>
  <si>
    <t xml:space="preserve">Bana Jelačića
dionica D4.2
</t>
  </si>
  <si>
    <t xml:space="preserve">Branitelja Hrvatske - Supilova
dionica D7
</t>
  </si>
  <si>
    <t>MMK komad, DN 200, α = 45,00°</t>
  </si>
  <si>
    <t>MMK komad, DN 200, α = 30,00°</t>
  </si>
  <si>
    <t>MMK komad, DN 200, α = 22,50°</t>
  </si>
  <si>
    <t>MMK komad, DN 200, α = 11,25°</t>
  </si>
  <si>
    <t>MMK komad, DN 300, α = 45,00°</t>
  </si>
  <si>
    <t>MMK komad, DN 300, α = 30,00°</t>
  </si>
  <si>
    <t>Armature i fazonski komadi  ZO 1 spojno okno</t>
  </si>
  <si>
    <t>Armature i fazonski komadi  ZO 2 spojno okno</t>
  </si>
  <si>
    <t>Armature i fazonski komadi  ZO 3 spojno okno</t>
  </si>
  <si>
    <t>Armature i fazonski komadi  ZO 4 spojno okno</t>
  </si>
  <si>
    <t>Armature i fazonski komadi  ZO 5 spojno okno MI</t>
  </si>
  <si>
    <t xml:space="preserve">Armature i fazonski komadi  ZO 6 </t>
  </si>
  <si>
    <t>Armature i fazonski komadi  ZO 7</t>
  </si>
  <si>
    <t>Armature i fazonski komadi  ZO 8</t>
  </si>
  <si>
    <t>Armature i fazonski komadi  ZO 11.1 MI</t>
  </si>
  <si>
    <t xml:space="preserve">Armature i fazonski komadi  ZO 12 </t>
  </si>
  <si>
    <t>Armature i fazonski komadi  ZO 13 MI</t>
  </si>
  <si>
    <t>Armature i fazonski komadi  ZO 14 MI</t>
  </si>
  <si>
    <t>Armature i fazonski komadi  ZO 15 MI</t>
  </si>
  <si>
    <t>Armature i fazonski komadi  ZO 16 MI</t>
  </si>
  <si>
    <t>Armature i fazonski komadi  ZO 17 MI</t>
  </si>
  <si>
    <t>Armature i fazonski komadi  ZO 18 MI</t>
  </si>
  <si>
    <t>Armature i fazonski komadi  ZO 19</t>
  </si>
  <si>
    <t>Armature i fazonski komadi  ZO 29 MI</t>
  </si>
  <si>
    <t>Armature i fazonski komadi  ZO 30</t>
  </si>
  <si>
    <t>Armature i fazonski komadi  ZO 31 MI</t>
  </si>
  <si>
    <t>Armature i fazonski komadi  ZO 45</t>
  </si>
  <si>
    <t>Armature i fazonski komadi  ZO 46</t>
  </si>
  <si>
    <t>Armature i fazonski komadi  ZO 47</t>
  </si>
  <si>
    <t>Armature i fazonski komadi  ZO 48</t>
  </si>
  <si>
    <t>Armature i fazonski komadi  ZO 49</t>
  </si>
  <si>
    <t>Armature i fazonski komadi  ZO 50</t>
  </si>
  <si>
    <t>Armature i fazonski komadi  ZO 51</t>
  </si>
  <si>
    <t>Armature i fazonski komadi  ZO 52 MI</t>
  </si>
  <si>
    <t>Armature i fazonski komadi  ZO 58</t>
  </si>
  <si>
    <t>Armature i fazonski komadi  ZO 59</t>
  </si>
  <si>
    <t>Armature i fazonski komadi  ZO 60</t>
  </si>
  <si>
    <t>Armature i fazonski komadi  ZO 62</t>
  </si>
  <si>
    <t>Armature i fazonski komadi  ZO 63</t>
  </si>
  <si>
    <t>Armature i fazonski komadi  ZO 64</t>
  </si>
  <si>
    <t>Armature i fazonski komadi  ZO 65</t>
  </si>
  <si>
    <t>Armature i fazonski komadi  ZO 72 spojno okno</t>
  </si>
  <si>
    <t>Armature i fazonski komadi  ZO 92</t>
  </si>
  <si>
    <t>Armature i fazonski komadi  ZO 98 spojno okno</t>
  </si>
  <si>
    <t>Armature i fazonski komadi  ZO 95</t>
  </si>
  <si>
    <t>Armature i fazonski komadi  ZO 99</t>
  </si>
  <si>
    <t>Armature i fazonski komadi  ZO 100</t>
  </si>
  <si>
    <t>Armature i fazonski komadi  ZO 101</t>
  </si>
  <si>
    <t>Armature i fazonski komadi  ZO 102</t>
  </si>
  <si>
    <t>Armature i fazonski komadi  ZO 106</t>
  </si>
  <si>
    <t>Armature i fazonski komadi  ZO 107</t>
  </si>
  <si>
    <t>Armature i fazonski komadi  ZO 108</t>
  </si>
  <si>
    <t>Armature i fazonski komadi  ZO 109</t>
  </si>
  <si>
    <t>Armature i fazonski komadi  ZO 110</t>
  </si>
  <si>
    <t>Armature i fazonski komadi  ZO 116</t>
  </si>
  <si>
    <t>Armature i fazonski komadi  ZO 117</t>
  </si>
  <si>
    <t>Armature i fazonski komadi  ZO 118</t>
  </si>
  <si>
    <t>Armature i fazonski komadi  ZO 119</t>
  </si>
  <si>
    <t>Armature i fazonski komadi  ZO 120</t>
  </si>
  <si>
    <t>Armature i fazonski komadi  ZO 121</t>
  </si>
  <si>
    <t>Armature i fazonski komadi  ZO 114</t>
  </si>
  <si>
    <t>Armature i fazonski komadi  ZO 124</t>
  </si>
  <si>
    <t>E zasun (kratki)</t>
  </si>
  <si>
    <t>MMA komad za cijevi od nodularnog lijeva</t>
  </si>
  <si>
    <t>N komad</t>
  </si>
  <si>
    <t xml:space="preserve">    DN 100 </t>
  </si>
  <si>
    <t xml:space="preserve">    DN 110/DN100 </t>
  </si>
  <si>
    <t xml:space="preserve">FF komad </t>
  </si>
  <si>
    <t xml:space="preserve">Teleskopska ugradbena gradbena garnitura zasuna </t>
  </si>
  <si>
    <t xml:space="preserve">    DN 100</t>
  </si>
  <si>
    <t>Ulična kapa zasuna</t>
  </si>
  <si>
    <t>Nadzemni hidrant  (tip Barok)</t>
  </si>
  <si>
    <t xml:space="preserve">    DN 100, Rd = 1,5 m</t>
  </si>
  <si>
    <t xml:space="preserve">PEHD cijev </t>
  </si>
  <si>
    <t>Nabava, dobava i ugradnja odzračno - dozračne garnitura. U stavku je uključen sav potreban pribor za ugradnju i pripadne ulične kape za odzračno - dozračne garniturue (kom 1).</t>
  </si>
  <si>
    <t>Odzračno - dozračna garnitura s prirubnicom za područje rada 1 - 16 bara, ugradbene visine Rd= 1500mm</t>
  </si>
  <si>
    <t>Armature i fazonski komadi  ZO 129 MI</t>
  </si>
  <si>
    <t>Armature i fazonski komadi  ZO 127 spojno okno</t>
  </si>
  <si>
    <t>Armature i fazonski komadi  ZO 131 spojno okno</t>
  </si>
  <si>
    <t>Armature i fazonski komadi  ZO 132 spojno okno</t>
  </si>
  <si>
    <t>Armature i fazonski komadi  ZO 133 spojno okno</t>
  </si>
  <si>
    <t>Armature i fazonski komadi  ZO 134 MI</t>
  </si>
  <si>
    <t>Armature i fazonski komadi  ZO 135 MI</t>
  </si>
  <si>
    <t>Armature i fazonski komadi  ZO 136 MI</t>
  </si>
  <si>
    <t>Armature i fazonski komadi  ZO 137 spojno okno</t>
  </si>
  <si>
    <t>Armature i fazonski komadi  ZO 138 spojno okno</t>
  </si>
  <si>
    <t>Armature i fazonski komadi  ZO 139</t>
  </si>
  <si>
    <t>Armature i fazonski komadi  ZO 140</t>
  </si>
  <si>
    <t>Armature i fazonski komadi  ZO 141</t>
  </si>
  <si>
    <t>Armature i fazonski komadi  ZO 142</t>
  </si>
  <si>
    <t>Armature i fazonski komadi  ZO 143</t>
  </si>
  <si>
    <t>Armature i fazonski komadi  ZO 144</t>
  </si>
  <si>
    <t>Armature i fazonski komadi  ZO 145</t>
  </si>
  <si>
    <t>Armature i fazonski komadi  ZO 146</t>
  </si>
  <si>
    <t>Armature i fazonski komadi  ZO 147</t>
  </si>
  <si>
    <t>Armature i fazonski komadi  ZO 148</t>
  </si>
  <si>
    <t>Armature i fazonski komadi  ZO 149</t>
  </si>
  <si>
    <t>Armature i fazonski komadi  ZO 150</t>
  </si>
  <si>
    <t>Armature i fazonski komadi  ZO 151</t>
  </si>
  <si>
    <t>HIDROSTANICA</t>
  </si>
  <si>
    <t>Armature i fazonski komadi  ZO 152</t>
  </si>
  <si>
    <t>Ventilaciona cijev</t>
  </si>
  <si>
    <t>Tlačne vodovodne cijevi od nodularnog lijeva</t>
  </si>
  <si>
    <t>luk, DN 110, α = 45,00°</t>
  </si>
  <si>
    <t>luk, DN 110, α = 22,30°</t>
  </si>
  <si>
    <t>luk, DN 110, α = 11,15°</t>
  </si>
  <si>
    <t>luk, DN 160, α = 45,00°</t>
  </si>
  <si>
    <t>luk, DN 160, α = 22,30°</t>
  </si>
  <si>
    <t>luk, DN 160, α = 11,15°</t>
  </si>
  <si>
    <t>DN 110/DN 80</t>
  </si>
  <si>
    <t>Nabava i montaža fazonskih komada i armatura za zasunska okna uključivo nabava i montaža sveg potrebnog spojnog i brtvenog materijala sa vijcima. Spajanje armatura i fazonskih komada treba izvesti u skladu sa montažnim shematskih prikaza za radni tlak  PN 16 bara.</t>
  </si>
  <si>
    <t>DN200, utični spoj sa naglavkom, uključivo gumene brtve, radni tlak 16 bar</t>
  </si>
  <si>
    <t>DN300, utični spoj sa naglavkom, uključivo gumene brtve, radni tlak 16 bar</t>
  </si>
  <si>
    <t>DN110, raskidivi spoj, radni tlak 25 bar</t>
  </si>
  <si>
    <t>DN160, raskidivi spoj, radni tlak 25 bar</t>
  </si>
  <si>
    <t>Nadzemni hidrant vel.veličine DN 100 s dva priključka tipa B i jednim priljučkom tipa A, s lomljivim stupom za radni tlak PN 10 (16), izvodi se sa predzasunom za radni tlak  PN 10 (16) sve prema DIN - u 3222, barokna izvedba.</t>
  </si>
  <si>
    <t xml:space="preserve">Demontaža postojeće hidrostanice, te nabava, doprema i ugradnja nove vodoopskrbne stanice u okno CS Potočka  </t>
  </si>
  <si>
    <t>CRPNA STANICA "SIFON 4"</t>
  </si>
  <si>
    <t>Crpna stanica u suhoj izvedbi, u betonskom oknu, "Sifon 4"</t>
  </si>
  <si>
    <t>LIJEVANO ZELJEZNI FAZONSKI KOMADI I ARMATURE</t>
  </si>
  <si>
    <t>Zasun DN 100, PN10</t>
  </si>
  <si>
    <t>Q 90o - lučni komad s prirubnicama  DIN 28637, DN 100, b=180</t>
  </si>
  <si>
    <t>T - komad s prirubnicama DIN EN 28643, DN 200/200, h=L/2=260</t>
  </si>
  <si>
    <t>FFRE - komad s prirubnicama DIN EN 28622, DN 250/200 x 300</t>
  </si>
  <si>
    <t>NEPOVRATNI VENTIL</t>
  </si>
  <si>
    <t>Poklopci - kompozitni</t>
  </si>
  <si>
    <t>Poklopci  - kompozitni</t>
  </si>
  <si>
    <t xml:space="preserve"> 2.9.20 </t>
  </si>
  <si>
    <t>Poklopac - kompozitni</t>
  </si>
  <si>
    <t>dimenzije 800x800 nosivosti 250kN</t>
  </si>
  <si>
    <r>
      <t xml:space="preserve">Rubnjak - s obnovom </t>
    </r>
    <r>
      <rPr>
        <u/>
        <sz val="11"/>
        <rFont val="Tahoma"/>
        <family val="2"/>
      </rPr>
      <t>postojećim</t>
    </r>
    <r>
      <rPr>
        <sz val="11"/>
        <rFont val="Tahoma"/>
        <family val="2"/>
        <charset val="238"/>
      </rPr>
      <t xml:space="preserve"> rubnjakom 50cm duljine</t>
    </r>
  </si>
  <si>
    <r>
      <t xml:space="preserve">Rubnjak - s obnovom </t>
    </r>
    <r>
      <rPr>
        <u/>
        <sz val="11"/>
        <rFont val="Tahoma"/>
        <family val="2"/>
      </rPr>
      <t>postojećim</t>
    </r>
    <r>
      <rPr>
        <sz val="11"/>
        <rFont val="Tahoma"/>
        <family val="2"/>
        <charset val="238"/>
      </rPr>
      <t xml:space="preserve"> rubnjakom  100cm duljine</t>
    </r>
  </si>
  <si>
    <r>
      <t xml:space="preserve">Rubnjak -  obnovom </t>
    </r>
    <r>
      <rPr>
        <u/>
        <sz val="11"/>
        <rFont val="Tahoma"/>
        <family val="2"/>
      </rPr>
      <t>novim</t>
    </r>
    <r>
      <rPr>
        <sz val="11"/>
        <rFont val="Tahoma"/>
        <family val="2"/>
        <charset val="238"/>
      </rPr>
      <t xml:space="preserve"> rubnjakom 50cm duljine</t>
    </r>
  </si>
  <si>
    <r>
      <t xml:space="preserve">Rubnjak -  obnovom </t>
    </r>
    <r>
      <rPr>
        <u/>
        <sz val="11"/>
        <rFont val="Tahoma"/>
        <family val="2"/>
      </rPr>
      <t>novim</t>
    </r>
    <r>
      <rPr>
        <sz val="11"/>
        <rFont val="Tahoma"/>
        <family val="2"/>
        <charset val="238"/>
      </rPr>
      <t xml:space="preserve"> rubnjakom 100cm duljine</t>
    </r>
  </si>
  <si>
    <t>UKUPNO - REKONSTRUKCIJA I IZGRADNJA SUSTAVA VODOOPSKRBE I ODVODNJE [HRK bez PDV-a]</t>
  </si>
  <si>
    <t>PDV</t>
  </si>
  <si>
    <t>UKUPNO - REKONSTRUKCIJA I IZGRADNJA SUSTAVA VODOOPSKRBE I ODVODNJE [HRK s PDV-om]</t>
  </si>
  <si>
    <t>1.2.4.4</t>
  </si>
  <si>
    <t>1.2.4.5</t>
  </si>
  <si>
    <t>1.2.4.6</t>
  </si>
  <si>
    <t>1.2.4.7</t>
  </si>
  <si>
    <t>1.2.4.8</t>
  </si>
  <si>
    <t>1.2.4.9</t>
  </si>
  <si>
    <t>1.2.4.10</t>
  </si>
  <si>
    <t>1.2.4.11</t>
  </si>
  <si>
    <t>1.2.4.12</t>
  </si>
  <si>
    <t>1.2.4.12.2</t>
  </si>
  <si>
    <t>1.2.4.13</t>
  </si>
  <si>
    <t>1.2.4.13.1</t>
  </si>
  <si>
    <t>1.2.4.13.2</t>
  </si>
  <si>
    <t>1.2.4.13.3</t>
  </si>
  <si>
    <t>1.2.4.13.4</t>
  </si>
  <si>
    <t>1.2.4.14</t>
  </si>
  <si>
    <t>1.2.4.14.1</t>
  </si>
  <si>
    <t>1.3.3.1</t>
  </si>
  <si>
    <t>1.3.3.2</t>
  </si>
  <si>
    <t>1.3.3.3</t>
  </si>
  <si>
    <t>1.4.4</t>
  </si>
  <si>
    <t>1.4.4.1</t>
  </si>
  <si>
    <t>1.4.4.2</t>
  </si>
  <si>
    <t>1.5.3.4.2</t>
  </si>
  <si>
    <t>1.5.3.6.1</t>
  </si>
  <si>
    <t>1.5.3.6.2</t>
  </si>
  <si>
    <t>1.5.3.6.3</t>
  </si>
  <si>
    <t>1.6.1.3</t>
  </si>
  <si>
    <t>1.6.1.4</t>
  </si>
  <si>
    <t>1.6.1.5</t>
  </si>
  <si>
    <t>1.6.1.6</t>
  </si>
  <si>
    <t>1.6.1.7</t>
  </si>
  <si>
    <t>1.6.1.8</t>
  </si>
  <si>
    <t>1.6.7.</t>
  </si>
  <si>
    <t>1.6.7.2</t>
  </si>
  <si>
    <t>1.6.7.3</t>
  </si>
  <si>
    <t>1.6.8.</t>
  </si>
  <si>
    <t>1.6.8.1</t>
  </si>
  <si>
    <t>1.6.8.2</t>
  </si>
  <si>
    <t>1.6.8.3</t>
  </si>
  <si>
    <t>1.6.8.4</t>
  </si>
  <si>
    <t>1.6.8.5</t>
  </si>
  <si>
    <t>1.6.8.6</t>
  </si>
  <si>
    <t>1.6.8.7</t>
  </si>
  <si>
    <t>1.6.8.8</t>
  </si>
  <si>
    <t>1.6.8.9</t>
  </si>
  <si>
    <t>1.6.8.10</t>
  </si>
  <si>
    <t>1.6.8.11</t>
  </si>
  <si>
    <t>1.6.8.12</t>
  </si>
  <si>
    <t>1.6.8.13</t>
  </si>
  <si>
    <t>1.6.8.14</t>
  </si>
  <si>
    <t>1.6.8.15</t>
  </si>
  <si>
    <t>1.6.8.16</t>
  </si>
  <si>
    <t>1.6.8.17</t>
  </si>
  <si>
    <t>1.6.8.18</t>
  </si>
  <si>
    <t>1.6.8.19</t>
  </si>
  <si>
    <t>1.6.8.20</t>
  </si>
  <si>
    <t>1.6.8.21</t>
  </si>
  <si>
    <t>1.6.8.22</t>
  </si>
  <si>
    <t>1.6.8.23</t>
  </si>
  <si>
    <t>1.6.8.24</t>
  </si>
  <si>
    <t>1.6.8.25</t>
  </si>
  <si>
    <t>1.6.8.26</t>
  </si>
  <si>
    <t>1.6.8.27</t>
  </si>
  <si>
    <t>1.6.8.28</t>
  </si>
  <si>
    <t>1.6.8.29</t>
  </si>
  <si>
    <t>1.6.8.30</t>
  </si>
  <si>
    <t>1.6.8.31</t>
  </si>
  <si>
    <t>1.6.8.32</t>
  </si>
  <si>
    <t>1.6.8.33</t>
  </si>
  <si>
    <t>1.6.8.34</t>
  </si>
  <si>
    <t>1.6.8.35</t>
  </si>
  <si>
    <t>1.6.8.36</t>
  </si>
  <si>
    <t>1.6.10.1</t>
  </si>
  <si>
    <t>1.6.11.1</t>
  </si>
  <si>
    <t>1.6.11.2</t>
  </si>
  <si>
    <t>1.6.11.3</t>
  </si>
  <si>
    <t>1.6.11.4</t>
  </si>
  <si>
    <t>1.6.11.5</t>
  </si>
  <si>
    <t>1.6.11.6</t>
  </si>
  <si>
    <t>1.6.11.7</t>
  </si>
  <si>
    <t>1.6.13.</t>
  </si>
  <si>
    <t>1.6.13.1</t>
  </si>
  <si>
    <t>1.7.6</t>
  </si>
  <si>
    <t>1.8.</t>
  </si>
  <si>
    <t>1.8.7.2</t>
  </si>
  <si>
    <t>1.8.8</t>
  </si>
  <si>
    <t>1.8.8.1</t>
  </si>
  <si>
    <t>1.8.8.2</t>
  </si>
  <si>
    <t>1.8.8.3</t>
  </si>
  <si>
    <t>KOLEKTORI REKONSTRUKCIJA</t>
  </si>
  <si>
    <t>2.1.1</t>
  </si>
  <si>
    <t>2.1.2</t>
  </si>
  <si>
    <t>2.2.1.</t>
  </si>
  <si>
    <t>2.2.2.1</t>
  </si>
  <si>
    <t>2.2.2.2</t>
  </si>
  <si>
    <t>2.2.3.</t>
  </si>
  <si>
    <t>2.2.3.1</t>
  </si>
  <si>
    <t>2.2.3.2</t>
  </si>
  <si>
    <t>2.2.3.3</t>
  </si>
  <si>
    <t>2.2.3.4</t>
  </si>
  <si>
    <t>2.2.4.1</t>
  </si>
  <si>
    <t>2.2.4.2</t>
  </si>
  <si>
    <t>2.2.4.3</t>
  </si>
  <si>
    <t>2.2.5</t>
  </si>
  <si>
    <t>2.2.6</t>
  </si>
  <si>
    <t>2.2.7</t>
  </si>
  <si>
    <t>2.2.8</t>
  </si>
  <si>
    <t>2.2.9</t>
  </si>
  <si>
    <t>2.3.1</t>
  </si>
  <si>
    <t>2.3.1.1</t>
  </si>
  <si>
    <t>2.4.1</t>
  </si>
  <si>
    <t>2.5.1</t>
  </si>
  <si>
    <t>2.5.1.1</t>
  </si>
  <si>
    <t>2.5.1.3</t>
  </si>
  <si>
    <t>2.5.1.5</t>
  </si>
  <si>
    <t>2.5.1.6</t>
  </si>
  <si>
    <t>2.5.2</t>
  </si>
  <si>
    <t>2.5.3</t>
  </si>
  <si>
    <t>2.5.4</t>
  </si>
  <si>
    <t>2.5.4.1</t>
  </si>
  <si>
    <t>2.5.4.2</t>
  </si>
  <si>
    <t>2.6.</t>
  </si>
  <si>
    <t>2.6.1</t>
  </si>
  <si>
    <t>2.6.2</t>
  </si>
  <si>
    <t>2.6.3</t>
  </si>
  <si>
    <t>2.6.4</t>
  </si>
  <si>
    <t>2.6.4.1</t>
  </si>
  <si>
    <t>2.6.4.2</t>
  </si>
  <si>
    <t>2.6.4.3</t>
  </si>
  <si>
    <t>3.1.1</t>
  </si>
  <si>
    <t>3.1.2</t>
  </si>
  <si>
    <t>3.1.2.1</t>
  </si>
  <si>
    <t>3.1.2.2</t>
  </si>
  <si>
    <t>3.1.3</t>
  </si>
  <si>
    <t>3.1.4</t>
  </si>
  <si>
    <t>3.1.4.1</t>
  </si>
  <si>
    <t>3.1.4.2</t>
  </si>
  <si>
    <t>3.1.4.3</t>
  </si>
  <si>
    <t>3.1.4.4</t>
  </si>
  <si>
    <t>3.1.4.5</t>
  </si>
  <si>
    <t>3.1.5</t>
  </si>
  <si>
    <t>3.1.6</t>
  </si>
  <si>
    <t>3.1.7</t>
  </si>
  <si>
    <t>3.1.8</t>
  </si>
  <si>
    <t>3.1.9</t>
  </si>
  <si>
    <t>3.1.10</t>
  </si>
  <si>
    <t>3.1.10.1</t>
  </si>
  <si>
    <t>3.1.10.2</t>
  </si>
  <si>
    <t>3.2.1</t>
  </si>
  <si>
    <t>3.2.2</t>
  </si>
  <si>
    <t>3.2.2.1</t>
  </si>
  <si>
    <t>3.2.2.2</t>
  </si>
  <si>
    <t>3.2.2.3</t>
  </si>
  <si>
    <t>3.2.3</t>
  </si>
  <si>
    <t>3.2.4</t>
  </si>
  <si>
    <t>3.2.5</t>
  </si>
  <si>
    <t>3.3.1</t>
  </si>
  <si>
    <t>3.3.1.1</t>
  </si>
  <si>
    <t>3.3.2.1</t>
  </si>
  <si>
    <t>3.3.3</t>
  </si>
  <si>
    <t>3.3.3.1</t>
  </si>
  <si>
    <t>3.3.3.2</t>
  </si>
  <si>
    <t>3.3.4</t>
  </si>
  <si>
    <t>3.3.4.1</t>
  </si>
  <si>
    <t>3.3.4.2</t>
  </si>
  <si>
    <t>3.3.4.3</t>
  </si>
  <si>
    <t>3.3.4.4</t>
  </si>
  <si>
    <t>3.3.5</t>
  </si>
  <si>
    <t>3.3.6</t>
  </si>
  <si>
    <t>3.3.6.1</t>
  </si>
  <si>
    <t>3.3.6.2</t>
  </si>
  <si>
    <t>3.3.7</t>
  </si>
  <si>
    <t>3.3.8</t>
  </si>
  <si>
    <t>3.3.9</t>
  </si>
  <si>
    <t>3.3.10</t>
  </si>
  <si>
    <t>3.3.10.1</t>
  </si>
  <si>
    <t>3.3.10.2</t>
  </si>
  <si>
    <t>3.3.11</t>
  </si>
  <si>
    <t>3.4.1</t>
  </si>
  <si>
    <t>3.4.1.1</t>
  </si>
  <si>
    <t>3.4.1.2</t>
  </si>
  <si>
    <t>3.4.2</t>
  </si>
  <si>
    <t>3.4.2.1</t>
  </si>
  <si>
    <t>3.4.2.2</t>
  </si>
  <si>
    <t>3.4.2.3</t>
  </si>
  <si>
    <t>3.4.2.4</t>
  </si>
  <si>
    <t>3.4.2.5</t>
  </si>
  <si>
    <t>3.4.3</t>
  </si>
  <si>
    <t>3.4.4</t>
  </si>
  <si>
    <t>4.2.2.1</t>
  </si>
  <si>
    <t>4.2.2.2</t>
  </si>
  <si>
    <t>4.2.3.1</t>
  </si>
  <si>
    <t>4.2.3.2</t>
  </si>
  <si>
    <t>4.2.3.3</t>
  </si>
  <si>
    <t>4.2.3.4</t>
  </si>
  <si>
    <t>4.2.3.5</t>
  </si>
  <si>
    <t>4.2.3.6</t>
  </si>
  <si>
    <t>4.2.3.7</t>
  </si>
  <si>
    <t>4.2.3.8</t>
  </si>
  <si>
    <t>4.2.3.9</t>
  </si>
  <si>
    <t>4.2.3.10</t>
  </si>
  <si>
    <t>4.2.3.11</t>
  </si>
  <si>
    <t>4.2.4.2</t>
  </si>
  <si>
    <t>4.2.4.2.1</t>
  </si>
  <si>
    <t>4.2.4.2.2</t>
  </si>
  <si>
    <t>4.2.4.2.3</t>
  </si>
  <si>
    <t>4.2.4.2.4</t>
  </si>
  <si>
    <t>4.2.4.3</t>
  </si>
  <si>
    <t>4.2.4.3.1</t>
  </si>
  <si>
    <t>4.2.4.3.2</t>
  </si>
  <si>
    <t>4.2.4.3.3</t>
  </si>
  <si>
    <t>4.2.4.3.4</t>
  </si>
  <si>
    <t>4.2.4.4</t>
  </si>
  <si>
    <t>4.2.4.4.1</t>
  </si>
  <si>
    <t>4.2.4.4.2</t>
  </si>
  <si>
    <t>4.2.4.4.3</t>
  </si>
  <si>
    <t>4.2.4.5</t>
  </si>
  <si>
    <t>4.2.4.6</t>
  </si>
  <si>
    <t>4.2.4.6.1</t>
  </si>
  <si>
    <t>4.2.4.6.2</t>
  </si>
  <si>
    <t>4.2.4.6.3</t>
  </si>
  <si>
    <t>4.2.5.2</t>
  </si>
  <si>
    <t>4.2.5.3</t>
  </si>
  <si>
    <t>4.2.5.4</t>
  </si>
  <si>
    <t>4.2.6.1</t>
  </si>
  <si>
    <t>4.2.6.2</t>
  </si>
  <si>
    <t>4.2.6.3</t>
  </si>
  <si>
    <t>4.2.7</t>
  </si>
  <si>
    <t>4.3.2</t>
  </si>
  <si>
    <t>4.3.2.1</t>
  </si>
  <si>
    <t>4.3.2.2</t>
  </si>
  <si>
    <t>4.3.2.3</t>
  </si>
  <si>
    <t>4.3.2.4</t>
  </si>
  <si>
    <t>4.3.2.5</t>
  </si>
  <si>
    <t>4.3.3</t>
  </si>
  <si>
    <t>4.3.4</t>
  </si>
  <si>
    <t>4.3.5</t>
  </si>
  <si>
    <t>4.3.6</t>
  </si>
  <si>
    <t>4.3.7</t>
  </si>
  <si>
    <t>4.3.8</t>
  </si>
  <si>
    <t>4.3.9</t>
  </si>
  <si>
    <t>4.3.10</t>
  </si>
  <si>
    <t>4.3.11</t>
  </si>
  <si>
    <t>4.3.12</t>
  </si>
  <si>
    <t>4.3.13</t>
  </si>
  <si>
    <t>4.3.14</t>
  </si>
  <si>
    <t>4.3.15</t>
  </si>
  <si>
    <t>4.4.2.2</t>
  </si>
  <si>
    <t>4.4.2.3</t>
  </si>
  <si>
    <t>4.4.2.4</t>
  </si>
  <si>
    <t>4.4.3.1</t>
  </si>
  <si>
    <t>4.4.3.2</t>
  </si>
  <si>
    <t>4.4.4.3</t>
  </si>
  <si>
    <t>4.4.5.1</t>
  </si>
  <si>
    <t>4.4.6.1</t>
  </si>
  <si>
    <t>4.4.6.2</t>
  </si>
  <si>
    <t>4.4.7</t>
  </si>
  <si>
    <t>4.4.8</t>
  </si>
  <si>
    <t>4.4.8.1</t>
  </si>
  <si>
    <t>4.4.8.2</t>
  </si>
  <si>
    <t>4.4.9</t>
  </si>
  <si>
    <t>4.4.10</t>
  </si>
  <si>
    <t>4.4.10.1</t>
  </si>
  <si>
    <t>4.4.10.2</t>
  </si>
  <si>
    <t>4.5.1</t>
  </si>
  <si>
    <t>4.5.1.1</t>
  </si>
  <si>
    <t>4.5.1.2</t>
  </si>
  <si>
    <t>4.5.2</t>
  </si>
  <si>
    <t>4.5.2.1</t>
  </si>
  <si>
    <t>4.5.2.2</t>
  </si>
  <si>
    <t>4.5.2.3</t>
  </si>
  <si>
    <t>4.5.3.1</t>
  </si>
  <si>
    <t>4.5.3.1.1</t>
  </si>
  <si>
    <t>4.5.3.2</t>
  </si>
  <si>
    <t>4.5.3.2.2</t>
  </si>
  <si>
    <t>4.5.3.3</t>
  </si>
  <si>
    <t>4.5.3.3.1</t>
  </si>
  <si>
    <t>4.5.3.4</t>
  </si>
  <si>
    <t>4.5.3.4.2</t>
  </si>
  <si>
    <t>4.5.3.5</t>
  </si>
  <si>
    <t>4.5.3.6</t>
  </si>
  <si>
    <t>4.5.3.7</t>
  </si>
  <si>
    <t>4.5.3.7.1</t>
  </si>
  <si>
    <t>4.5.3.7.2</t>
  </si>
  <si>
    <t>4.5.3.7.3</t>
  </si>
  <si>
    <t>4.5.3.7.4</t>
  </si>
  <si>
    <t>4.5.3.8.</t>
  </si>
  <si>
    <t>4.5.3.8.1</t>
  </si>
  <si>
    <t>4.5.3.8.2</t>
  </si>
  <si>
    <t>4.5.3.8.3</t>
  </si>
  <si>
    <t>4.5.3.9</t>
  </si>
  <si>
    <t>4.5.3.9.1</t>
  </si>
  <si>
    <t>4.6.2</t>
  </si>
  <si>
    <t>4.6.2.1</t>
  </si>
  <si>
    <t>4.6.2.2</t>
  </si>
  <si>
    <t>4.6.2.3</t>
  </si>
  <si>
    <t>4.6.2.4</t>
  </si>
  <si>
    <t>4.6.2.5</t>
  </si>
  <si>
    <t>4.6.2.6</t>
  </si>
  <si>
    <t>4.6.2.7</t>
  </si>
  <si>
    <t>4.6.2.8</t>
  </si>
  <si>
    <t>4.6.3</t>
  </si>
  <si>
    <t>4.6.4</t>
  </si>
  <si>
    <t>4.6.5</t>
  </si>
  <si>
    <t>4.6.6</t>
  </si>
  <si>
    <t>4.6.7</t>
  </si>
  <si>
    <t>4.6.7.1</t>
  </si>
  <si>
    <t>4.6.8</t>
  </si>
  <si>
    <t>4.6.8.1</t>
  </si>
  <si>
    <t>4.6.8.2</t>
  </si>
  <si>
    <t>4.6.9.</t>
  </si>
  <si>
    <t>4.6.9.1.1</t>
  </si>
  <si>
    <t>4.6.9.1.2</t>
  </si>
  <si>
    <t>4.6.9.2.1</t>
  </si>
  <si>
    <t>4.6.9.2.2</t>
  </si>
  <si>
    <t>4.6.9.2.3</t>
  </si>
  <si>
    <t>4.6.9.2.4</t>
  </si>
  <si>
    <t xml:space="preserve">4.6.10. </t>
  </si>
  <si>
    <t>4.6.10.1</t>
  </si>
  <si>
    <t>4.6.10.2</t>
  </si>
  <si>
    <t>4.6.10.3</t>
  </si>
  <si>
    <t>4.6.10.4</t>
  </si>
  <si>
    <t>4.6.10.5</t>
  </si>
  <si>
    <t>4.6.10.6</t>
  </si>
  <si>
    <t>4.6.10.7</t>
  </si>
  <si>
    <t>4.6.10.8</t>
  </si>
  <si>
    <t>4.6.10.9</t>
  </si>
  <si>
    <t>4.6.10.10</t>
  </si>
  <si>
    <t>4.6.10.11</t>
  </si>
  <si>
    <t>4.6.10.12</t>
  </si>
  <si>
    <t>4.6.10.13</t>
  </si>
  <si>
    <t>4.6.10.14</t>
  </si>
  <si>
    <t>4.6.10.15</t>
  </si>
  <si>
    <t>4.6.10.16</t>
  </si>
  <si>
    <t>4.6.11.</t>
  </si>
  <si>
    <t>4.6.11.1</t>
  </si>
  <si>
    <t>4.6.11.2</t>
  </si>
  <si>
    <t>4.6.11.3</t>
  </si>
  <si>
    <t>4.6.11.4</t>
  </si>
  <si>
    <t>4.6.11.5</t>
  </si>
  <si>
    <t>4.6.11.6</t>
  </si>
  <si>
    <t>4.6.11.7</t>
  </si>
  <si>
    <t>4.6.11.8</t>
  </si>
  <si>
    <t>4.6.11.9</t>
  </si>
  <si>
    <t>4.6.11.10</t>
  </si>
  <si>
    <t>4.6.11.11</t>
  </si>
  <si>
    <t>4.6.11.12</t>
  </si>
  <si>
    <t>4.6.11.13</t>
  </si>
  <si>
    <t>4.6.11.14</t>
  </si>
  <si>
    <t>4.6.11.15</t>
  </si>
  <si>
    <t>4.6.11.16</t>
  </si>
  <si>
    <t>4.6.11.17</t>
  </si>
  <si>
    <t>4.6.11.18</t>
  </si>
  <si>
    <t>4.6.11.19</t>
  </si>
  <si>
    <t>4.6.11.20</t>
  </si>
  <si>
    <t>4.6.11.21</t>
  </si>
  <si>
    <t>4.6.11.22</t>
  </si>
  <si>
    <t>4.6.11.23</t>
  </si>
  <si>
    <t>4.6.11.24</t>
  </si>
  <si>
    <t>4.6.11.25</t>
  </si>
  <si>
    <t>4.6.11.26</t>
  </si>
  <si>
    <t>4.6.11.27</t>
  </si>
  <si>
    <t>4.6.11.28</t>
  </si>
  <si>
    <t>4.6.11.29</t>
  </si>
  <si>
    <t>4.6.11.30</t>
  </si>
  <si>
    <t>4.6.11.31</t>
  </si>
  <si>
    <t>4.6.11.32</t>
  </si>
  <si>
    <t>4.6.11.33</t>
  </si>
  <si>
    <t>4.6.11.34</t>
  </si>
  <si>
    <t>4.6.11.35</t>
  </si>
  <si>
    <t>4.6.11.36</t>
  </si>
  <si>
    <t>4.6.11.37</t>
  </si>
  <si>
    <t>4.6.11.38</t>
  </si>
  <si>
    <t>4.6.11.39</t>
  </si>
  <si>
    <t>4.6.11.40</t>
  </si>
  <si>
    <t>4.6.11.41</t>
  </si>
  <si>
    <t>4.6.11.42</t>
  </si>
  <si>
    <t>4.6.11.43</t>
  </si>
  <si>
    <t>4.6.11.44</t>
  </si>
  <si>
    <t>4.6.11.45</t>
  </si>
  <si>
    <t>4.6.11.46</t>
  </si>
  <si>
    <t>4.6.11.47</t>
  </si>
  <si>
    <t>4.6.11.48</t>
  </si>
  <si>
    <t>4.6.11.49</t>
  </si>
  <si>
    <t>4.6.11.50</t>
  </si>
  <si>
    <t>4.6.11.51</t>
  </si>
  <si>
    <t>4.6.11.52</t>
  </si>
  <si>
    <t>4.6.11.53</t>
  </si>
  <si>
    <t>4.6.11.54</t>
  </si>
  <si>
    <t>4.6.11.55</t>
  </si>
  <si>
    <t>4.6.11.56</t>
  </si>
  <si>
    <t>4.6.11.57</t>
  </si>
  <si>
    <t>4.6.11.58</t>
  </si>
  <si>
    <t>4.6.11.59</t>
  </si>
  <si>
    <t>4.6.12</t>
  </si>
  <si>
    <t>4.6.12.1</t>
  </si>
  <si>
    <t>4.6.12.2</t>
  </si>
  <si>
    <t>4.6.12.3</t>
  </si>
  <si>
    <t>4.6.12.4</t>
  </si>
  <si>
    <t>4.6.12.5</t>
  </si>
  <si>
    <t>4.6.12.6</t>
  </si>
  <si>
    <t>4.6.12.7</t>
  </si>
  <si>
    <t>4.6.12.8</t>
  </si>
  <si>
    <t>4.6.12.9</t>
  </si>
  <si>
    <t>4.6.12.10</t>
  </si>
  <si>
    <t>4.6.12.11</t>
  </si>
  <si>
    <t>4.6.12.12</t>
  </si>
  <si>
    <t>4.6.12.13</t>
  </si>
  <si>
    <t>4.6.12.14</t>
  </si>
  <si>
    <t>4.6.12.15</t>
  </si>
  <si>
    <t>4.6.12.16</t>
  </si>
  <si>
    <t>4.6.12.17</t>
  </si>
  <si>
    <t>4.6.12.18</t>
  </si>
  <si>
    <t>4.6.12.19</t>
  </si>
  <si>
    <t>4.6.12.20</t>
  </si>
  <si>
    <t>4.6.12.21</t>
  </si>
  <si>
    <t>4.6.12.22</t>
  </si>
  <si>
    <t>4.6.12.23</t>
  </si>
  <si>
    <t>4.6.12.24</t>
  </si>
  <si>
    <t>4.6.12.25</t>
  </si>
  <si>
    <t>4.6.12.26</t>
  </si>
  <si>
    <t>4.6.12.27</t>
  </si>
  <si>
    <t>4.6.12.28</t>
  </si>
  <si>
    <t>4.6.12.29</t>
  </si>
  <si>
    <t>4.6.12.30</t>
  </si>
  <si>
    <t>4.6.12.31</t>
  </si>
  <si>
    <t>4.6.12.32</t>
  </si>
  <si>
    <t>4.6.12.33</t>
  </si>
  <si>
    <t>4.6.12.34</t>
  </si>
  <si>
    <t>4.6.12.35</t>
  </si>
  <si>
    <t>4.6.12.36</t>
  </si>
  <si>
    <t>4.6.12.37</t>
  </si>
  <si>
    <t>4.6.12.38</t>
  </si>
  <si>
    <t>4.6.13</t>
  </si>
  <si>
    <t>4.6.13.1</t>
  </si>
  <si>
    <t>4.6.13.2</t>
  </si>
  <si>
    <t>4.6.13.3</t>
  </si>
  <si>
    <t>4.6.13.4</t>
  </si>
  <si>
    <t>4.6.13.5</t>
  </si>
  <si>
    <t>4.6.13.6</t>
  </si>
  <si>
    <t>4.6.13.7</t>
  </si>
  <si>
    <t>4.6.13.8</t>
  </si>
  <si>
    <t>4.6.13.9</t>
  </si>
  <si>
    <t>4.6.13.10</t>
  </si>
  <si>
    <t>4.6.13.11</t>
  </si>
  <si>
    <t>4.6.13.12</t>
  </si>
  <si>
    <t>4.6.13.13</t>
  </si>
  <si>
    <t>4.6.13.14</t>
  </si>
  <si>
    <t>4.6.13.15</t>
  </si>
  <si>
    <t>4.6.13.16</t>
  </si>
  <si>
    <t>4.7.</t>
  </si>
  <si>
    <t>4.7.1</t>
  </si>
  <si>
    <t>4.7.1.1</t>
  </si>
  <si>
    <t>4.7.1.2</t>
  </si>
  <si>
    <t>4.7.1.3</t>
  </si>
  <si>
    <t>4.7.1.4</t>
  </si>
  <si>
    <t>4.7.2</t>
  </si>
  <si>
    <t>4.7.2.1</t>
  </si>
  <si>
    <t>4.7.2.2</t>
  </si>
  <si>
    <t>4.7.2.3</t>
  </si>
  <si>
    <t>4.7.2.4</t>
  </si>
  <si>
    <t>4.7.3</t>
  </si>
  <si>
    <t>4.7.3.1</t>
  </si>
  <si>
    <t>4.7.3.2</t>
  </si>
  <si>
    <t>4.7.3.3</t>
  </si>
  <si>
    <t>4.7.3.4</t>
  </si>
  <si>
    <t>4.8.</t>
  </si>
  <si>
    <t>4.8.1</t>
  </si>
  <si>
    <t>4.8.2</t>
  </si>
  <si>
    <t>4.8.3</t>
  </si>
  <si>
    <t>4.8.4</t>
  </si>
  <si>
    <t>4.8.4.1</t>
  </si>
  <si>
    <t>4.8.4.2</t>
  </si>
  <si>
    <t>4.8.4.3</t>
  </si>
  <si>
    <t>4.8.5</t>
  </si>
  <si>
    <t>4.8.5.1</t>
  </si>
  <si>
    <t>4.8.5.2</t>
  </si>
  <si>
    <t>4.8.6</t>
  </si>
  <si>
    <t>4.8.6.1</t>
  </si>
  <si>
    <t>4.8.6.2</t>
  </si>
  <si>
    <t>4.8.6.3</t>
  </si>
  <si>
    <t>4.8.7</t>
  </si>
  <si>
    <t>4.8.7.1</t>
  </si>
  <si>
    <t>4.9.</t>
  </si>
  <si>
    <t>4.9.1</t>
  </si>
  <si>
    <t>4.9.1.1</t>
  </si>
  <si>
    <t>4.9.1.2</t>
  </si>
  <si>
    <t>4.9.2</t>
  </si>
  <si>
    <t>4.9.2.1</t>
  </si>
  <si>
    <t>4.9.2.2</t>
  </si>
  <si>
    <t>4.9.3</t>
  </si>
  <si>
    <t>4.9.3.1</t>
  </si>
  <si>
    <t>4.9.3.2</t>
  </si>
  <si>
    <t>4.10.</t>
  </si>
  <si>
    <t>4.10.1</t>
  </si>
  <si>
    <t>4.10.2</t>
  </si>
  <si>
    <t>4.10.3</t>
  </si>
  <si>
    <t>4.10.4</t>
  </si>
  <si>
    <t>4.10.5</t>
  </si>
  <si>
    <t>4.10.6</t>
  </si>
  <si>
    <t>4.11.</t>
  </si>
  <si>
    <t>4.11.1</t>
  </si>
  <si>
    <t>4.11.2</t>
  </si>
  <si>
    <t>4.11.3</t>
  </si>
  <si>
    <t>4.11.4</t>
  </si>
  <si>
    <t>4.11.5</t>
  </si>
  <si>
    <t>4.11.6</t>
  </si>
  <si>
    <t>4.12.</t>
  </si>
  <si>
    <t>4.12.1</t>
  </si>
  <si>
    <t>4.12.2</t>
  </si>
  <si>
    <t>4.12.2.1</t>
  </si>
  <si>
    <t>4.12.2.2</t>
  </si>
  <si>
    <t>4.12.3</t>
  </si>
  <si>
    <t>4.12.3.1</t>
  </si>
  <si>
    <t>4.12.3.2</t>
  </si>
  <si>
    <t>4.12.4</t>
  </si>
  <si>
    <t>4.12.4.1</t>
  </si>
  <si>
    <t>4.12.4.2</t>
  </si>
  <si>
    <t>4.12.4.3</t>
  </si>
  <si>
    <t>4.12.5</t>
  </si>
  <si>
    <t>4.12.6</t>
  </si>
  <si>
    <t>4.12.6.1</t>
  </si>
  <si>
    <t>4.12.6.2</t>
  </si>
  <si>
    <t>4.12.6.3</t>
  </si>
  <si>
    <t>4.12.7</t>
  </si>
  <si>
    <t>4.12.7.1</t>
  </si>
  <si>
    <t>4.12.7.2</t>
  </si>
  <si>
    <t>4.12.7.3</t>
  </si>
  <si>
    <t>4.12.7.4</t>
  </si>
  <si>
    <t>4.12.7.5</t>
  </si>
  <si>
    <t>4.12.8</t>
  </si>
  <si>
    <t>4.12.9</t>
  </si>
  <si>
    <t>4.12.9.1</t>
  </si>
  <si>
    <t>4.12.9.2</t>
  </si>
  <si>
    <t>4.12.10</t>
  </si>
  <si>
    <t>4.12.11</t>
  </si>
  <si>
    <t>4.12.12</t>
  </si>
  <si>
    <t>4.12.13</t>
  </si>
  <si>
    <t>4.12.13.1</t>
  </si>
  <si>
    <t>4.12.13.2</t>
  </si>
  <si>
    <t>4.12.13.3</t>
  </si>
  <si>
    <t>4.12.13.4</t>
  </si>
  <si>
    <t>5.1.1</t>
  </si>
  <si>
    <t>5.2.2</t>
  </si>
  <si>
    <t>5.2.2.1</t>
  </si>
  <si>
    <t>5.2.2.2</t>
  </si>
  <si>
    <t>5.2.3</t>
  </si>
  <si>
    <t>5.2.3.1</t>
  </si>
  <si>
    <t>5.2.3.2</t>
  </si>
  <si>
    <t>5.2.3.3</t>
  </si>
  <si>
    <t>5.2.3.4</t>
  </si>
  <si>
    <t>5.2.3.5</t>
  </si>
  <si>
    <t>5.2.3.6</t>
  </si>
  <si>
    <t>5.2.3.7</t>
  </si>
  <si>
    <t>5.2.3.8</t>
  </si>
  <si>
    <t>5.2.3.9</t>
  </si>
  <si>
    <t>5.2.3.10</t>
  </si>
  <si>
    <t>5.2.4</t>
  </si>
  <si>
    <t>5.2.4.1</t>
  </si>
  <si>
    <t>5.2.4.2</t>
  </si>
  <si>
    <t>5.2.4.2.1</t>
  </si>
  <si>
    <t>5.2.4.2.2</t>
  </si>
  <si>
    <t>5.2.4.2.3</t>
  </si>
  <si>
    <t>5.2.4.3</t>
  </si>
  <si>
    <t>5.2.4.3.1</t>
  </si>
  <si>
    <t>5.2.4.3.2</t>
  </si>
  <si>
    <t>5.2.4.3.3</t>
  </si>
  <si>
    <t>5.2.5</t>
  </si>
  <si>
    <t>5.2.5.1</t>
  </si>
  <si>
    <t>5.2.5.2</t>
  </si>
  <si>
    <t>5.2.5.3</t>
  </si>
  <si>
    <t>5.2.6</t>
  </si>
  <si>
    <t>5.2.6.1</t>
  </si>
  <si>
    <t>5.2.6.2</t>
  </si>
  <si>
    <t>5.2.6.3</t>
  </si>
  <si>
    <t>5.2.6.4</t>
  </si>
  <si>
    <t>5.2.6.5</t>
  </si>
  <si>
    <t>5.2.6.6</t>
  </si>
  <si>
    <t>5.2.7</t>
  </si>
  <si>
    <t>5.2.7.1</t>
  </si>
  <si>
    <t>5.2.7.2</t>
  </si>
  <si>
    <t>5.2.7.3</t>
  </si>
  <si>
    <t>5.3.</t>
  </si>
  <si>
    <t>5.3.1</t>
  </si>
  <si>
    <t>5.3.1.1</t>
  </si>
  <si>
    <t>5.3.1.2</t>
  </si>
  <si>
    <t>5.3.1.3</t>
  </si>
  <si>
    <t>5.3.1.4</t>
  </si>
  <si>
    <t>5.3.2</t>
  </si>
  <si>
    <t>5.3.3</t>
  </si>
  <si>
    <t>5.3.4</t>
  </si>
  <si>
    <t>5.3.5</t>
  </si>
  <si>
    <t>5.3.6</t>
  </si>
  <si>
    <t>5.3.7</t>
  </si>
  <si>
    <t>5.4.</t>
  </si>
  <si>
    <t>5.4.1</t>
  </si>
  <si>
    <t>5.4.1.1</t>
  </si>
  <si>
    <t>5.4.1.2</t>
  </si>
  <si>
    <t>5.4.1.3</t>
  </si>
  <si>
    <t>5.4.2</t>
  </si>
  <si>
    <t>5.4.3</t>
  </si>
  <si>
    <t>5.4.4</t>
  </si>
  <si>
    <t>5.4.4.1</t>
  </si>
  <si>
    <t>5.4.4.2</t>
  </si>
  <si>
    <t>5.4.5</t>
  </si>
  <si>
    <t>5.4.5.1</t>
  </si>
  <si>
    <t>5.4.5.2</t>
  </si>
  <si>
    <t>5.4.7</t>
  </si>
  <si>
    <t>5.4.8</t>
  </si>
  <si>
    <t>5.4.9</t>
  </si>
  <si>
    <t>5.4.9.1</t>
  </si>
  <si>
    <t>5.5.</t>
  </si>
  <si>
    <t>5.5.1</t>
  </si>
  <si>
    <t>5.5.1.1</t>
  </si>
  <si>
    <t>5.5.2</t>
  </si>
  <si>
    <t>5.5.2.1</t>
  </si>
  <si>
    <t>5.5.3</t>
  </si>
  <si>
    <t>5.5.3.1.1</t>
  </si>
  <si>
    <t>5.5.3.2</t>
  </si>
  <si>
    <t>5.5.3.3</t>
  </si>
  <si>
    <t>5.5.3.3.1</t>
  </si>
  <si>
    <t>5.5.3.4</t>
  </si>
  <si>
    <t>5.5.3.4.1</t>
  </si>
  <si>
    <t>5.5.3.5</t>
  </si>
  <si>
    <t>5.5.3.6</t>
  </si>
  <si>
    <t>5.5.3.6.1</t>
  </si>
  <si>
    <t>5.5.3.6.2</t>
  </si>
  <si>
    <t>5.5.3.6.3</t>
  </si>
  <si>
    <t>5.5.3.7</t>
  </si>
  <si>
    <t>5.5.3.7.1</t>
  </si>
  <si>
    <t>5.5.3.7.2</t>
  </si>
  <si>
    <t>5.5.3.7.3</t>
  </si>
  <si>
    <t>5.5.3.8</t>
  </si>
  <si>
    <t>5.5.3.8.1</t>
  </si>
  <si>
    <t>5.5.3.8.2</t>
  </si>
  <si>
    <t>5.5.3.8.3</t>
  </si>
  <si>
    <t>5.6.</t>
  </si>
  <si>
    <t>5.6.2</t>
  </si>
  <si>
    <t>5.6.2.1</t>
  </si>
  <si>
    <t>5.6.2.2</t>
  </si>
  <si>
    <t>5.6.2.3</t>
  </si>
  <si>
    <t>5.6.2.4</t>
  </si>
  <si>
    <t>5.6.3</t>
  </si>
  <si>
    <t>5.6.3.1</t>
  </si>
  <si>
    <t>5.7.</t>
  </si>
  <si>
    <t>5.7.1</t>
  </si>
  <si>
    <t>5.7.2</t>
  </si>
  <si>
    <t>5.7.3</t>
  </si>
  <si>
    <t>5.7.4</t>
  </si>
  <si>
    <t>5.7.4.1</t>
  </si>
  <si>
    <t>5.7.4.2</t>
  </si>
  <si>
    <t>5.7.4.3</t>
  </si>
  <si>
    <t>5.7.4.4</t>
  </si>
  <si>
    <t>5.7.5</t>
  </si>
  <si>
    <t>5.7.5.1</t>
  </si>
  <si>
    <t>5.7.5.2</t>
  </si>
  <si>
    <t>5.7.5.3</t>
  </si>
  <si>
    <t>5.7.6</t>
  </si>
  <si>
    <t>5.7.6.1</t>
  </si>
  <si>
    <t>5.7.6.2</t>
  </si>
  <si>
    <t>5.7.6.3</t>
  </si>
  <si>
    <t>5.7.6.4</t>
  </si>
  <si>
    <t>5.7.7</t>
  </si>
  <si>
    <t>5.7.7.1</t>
  </si>
  <si>
    <t>6.1.1.1</t>
  </si>
  <si>
    <t>6.1.1.2</t>
  </si>
  <si>
    <t>6.1.2.1</t>
  </si>
  <si>
    <t>6.1.2.2</t>
  </si>
  <si>
    <t>6.1.3</t>
  </si>
  <si>
    <t>6.1.1</t>
  </si>
  <si>
    <t>6.1.3.1</t>
  </si>
  <si>
    <t>6.1.3.2</t>
  </si>
  <si>
    <t>6.1.3.3</t>
  </si>
  <si>
    <t>6.1.3.4</t>
  </si>
  <si>
    <t>6.1.3.5</t>
  </si>
  <si>
    <t>6.1.3.6</t>
  </si>
  <si>
    <t>6.1.4.</t>
  </si>
  <si>
    <t>6.1.4.1</t>
  </si>
  <si>
    <t>6.1.4.2</t>
  </si>
  <si>
    <t>6.1.4.3</t>
  </si>
  <si>
    <t>6.1.4.4</t>
  </si>
  <si>
    <t>6.1.4.5</t>
  </si>
  <si>
    <t>6.1.4.6</t>
  </si>
  <si>
    <t>6.1.5.</t>
  </si>
  <si>
    <t>6.1.5.1</t>
  </si>
  <si>
    <t>6.1.5.2</t>
  </si>
  <si>
    <t>6.1.5.3</t>
  </si>
  <si>
    <t>6.1.5.4</t>
  </si>
  <si>
    <t>6.1.5.5</t>
  </si>
  <si>
    <t>6.1.5.6</t>
  </si>
  <si>
    <t>6.1.5.7</t>
  </si>
  <si>
    <t>6.1.5.8</t>
  </si>
  <si>
    <t>6.1.5.9</t>
  </si>
  <si>
    <t>6.1.5.10</t>
  </si>
  <si>
    <t>6.1.5.11</t>
  </si>
  <si>
    <t>6.1.5.12</t>
  </si>
  <si>
    <t>6.1.5.13</t>
  </si>
  <si>
    <t>6.1.5.14</t>
  </si>
  <si>
    <t>6.1.5.15</t>
  </si>
  <si>
    <t>6.1.5.16</t>
  </si>
  <si>
    <t>6.1.5.17</t>
  </si>
  <si>
    <t>6.1.5.18</t>
  </si>
  <si>
    <t>6.1.5.19</t>
  </si>
  <si>
    <t>6.1.5.20</t>
  </si>
  <si>
    <t>6.1.5.21</t>
  </si>
  <si>
    <t>6.1.5.22</t>
  </si>
  <si>
    <t>6.1.5.23</t>
  </si>
  <si>
    <t>6.1.5.24</t>
  </si>
  <si>
    <t>6.1.5.25</t>
  </si>
  <si>
    <t>6.1.5.26</t>
  </si>
  <si>
    <t>6.1.5.27</t>
  </si>
  <si>
    <t>6.1.5.28</t>
  </si>
  <si>
    <t>6.1.5.29</t>
  </si>
  <si>
    <t>6.1.5.30</t>
  </si>
  <si>
    <t>6.1.5.31</t>
  </si>
  <si>
    <t>6.1.5.32</t>
  </si>
  <si>
    <t>6.1.5.33</t>
  </si>
  <si>
    <t>6.1.5.34</t>
  </si>
  <si>
    <t>6.1.5.35</t>
  </si>
  <si>
    <t>6.1.5.36</t>
  </si>
  <si>
    <t>6.1.5.37</t>
  </si>
  <si>
    <t>6.1.5.38</t>
  </si>
  <si>
    <t>6.1.5.39</t>
  </si>
  <si>
    <t>6.1.5.40</t>
  </si>
  <si>
    <t>6.1.5.41</t>
  </si>
  <si>
    <t>6.1.5.42</t>
  </si>
  <si>
    <t>6.1.5.43</t>
  </si>
  <si>
    <t>6.1.5.44</t>
  </si>
  <si>
    <t>6.1.5.45</t>
  </si>
  <si>
    <t>6.1.5.46</t>
  </si>
  <si>
    <t>6.1.5.47</t>
  </si>
  <si>
    <t>6.1.5.48</t>
  </si>
  <si>
    <t>6.1.5.49</t>
  </si>
  <si>
    <t>6.1.5.50</t>
  </si>
  <si>
    <t>6.1.5.51</t>
  </si>
  <si>
    <t>6.1.5.52</t>
  </si>
  <si>
    <t>6.1.5.53</t>
  </si>
  <si>
    <t>6.1.5.54</t>
  </si>
  <si>
    <t>6.1.5.55</t>
  </si>
  <si>
    <t>6.1.5.56</t>
  </si>
  <si>
    <t>6.1.5.57</t>
  </si>
  <si>
    <t>6.1.5.58</t>
  </si>
  <si>
    <t>6.1.5.59</t>
  </si>
  <si>
    <t>6.1.5.60</t>
  </si>
  <si>
    <t>6.1.5.61</t>
  </si>
  <si>
    <t>6.1.5.62</t>
  </si>
  <si>
    <t>6.1.5.63</t>
  </si>
  <si>
    <t>6.1.5.64</t>
  </si>
  <si>
    <t>6.1.5.65</t>
  </si>
  <si>
    <t>6.1.5.66</t>
  </si>
  <si>
    <t>6.1.5.67</t>
  </si>
  <si>
    <t>6.1.5.68</t>
  </si>
  <si>
    <t>6.1.5.69</t>
  </si>
  <si>
    <t>6.1.5.70</t>
  </si>
  <si>
    <t>6.1.5.71</t>
  </si>
  <si>
    <t>6.1.5.72</t>
  </si>
  <si>
    <t>6.1.5.73</t>
  </si>
  <si>
    <t>6.1.5.74</t>
  </si>
  <si>
    <t>6.1.5.75</t>
  </si>
  <si>
    <t>6.1.5.76</t>
  </si>
  <si>
    <t>6.1.5.77</t>
  </si>
  <si>
    <t>6.1.5.78</t>
  </si>
  <si>
    <t>6.1.5.79</t>
  </si>
  <si>
    <t>6.1.5.80</t>
  </si>
  <si>
    <t>6.1.6.</t>
  </si>
  <si>
    <t>6.1.6.1.1</t>
  </si>
  <si>
    <t>6.1.6.2</t>
  </si>
  <si>
    <t>6.1.6.1</t>
  </si>
  <si>
    <t>6.1.6.2.1</t>
  </si>
  <si>
    <t>6.1.6.2.2</t>
  </si>
  <si>
    <t>6.1.6.2.3</t>
  </si>
  <si>
    <t>6.1.6.2.4</t>
  </si>
  <si>
    <t>6.1.6.2.5</t>
  </si>
  <si>
    <t>6.1.6.3</t>
  </si>
  <si>
    <t>6.1.6.3.1</t>
  </si>
  <si>
    <t>6.1.6.4</t>
  </si>
  <si>
    <t>6.1.6.4.1</t>
  </si>
  <si>
    <t>6.1.6.5</t>
  </si>
  <si>
    <t>6.1.6.5.1</t>
  </si>
  <si>
    <t>6.1.6.5.2</t>
  </si>
  <si>
    <t>6.1.6.5.3</t>
  </si>
  <si>
    <t>6.1.6.5.4</t>
  </si>
  <si>
    <t>6.1.6.5.5</t>
  </si>
  <si>
    <t>6.1.6.5.6</t>
  </si>
  <si>
    <t>6.1.6.5.7</t>
  </si>
  <si>
    <t>6.1.6.6</t>
  </si>
  <si>
    <t>6.1.6.6.1</t>
  </si>
  <si>
    <t>6.1.6.7.</t>
  </si>
  <si>
    <t>6.1.6.7.1</t>
  </si>
  <si>
    <t>6.1.6.8.</t>
  </si>
  <si>
    <t>6.1.6.8.1</t>
  </si>
  <si>
    <t>6.1.6.9.</t>
  </si>
  <si>
    <t>6.1.6.9.1</t>
  </si>
  <si>
    <t>6.1.7.</t>
  </si>
  <si>
    <t>6.1.7.1</t>
  </si>
  <si>
    <t>6.1.7.1.1.</t>
  </si>
  <si>
    <t>6.1.7.1.1.1</t>
  </si>
  <si>
    <t>6.1.7.1.1.2</t>
  </si>
  <si>
    <t>6.1.7.1.1.3</t>
  </si>
  <si>
    <t>6.1.7.1.1.4</t>
  </si>
  <si>
    <t>6.1.7.1.2.</t>
  </si>
  <si>
    <t>6.1.7.1.2.1</t>
  </si>
  <si>
    <t>6.1.7.1.3.</t>
  </si>
  <si>
    <t>6.1.7.1.3.1</t>
  </si>
  <si>
    <t>6.1.7.1.4.</t>
  </si>
  <si>
    <t>6.1.8.</t>
  </si>
  <si>
    <t>6.1.8.1.</t>
  </si>
  <si>
    <t>7.1.</t>
  </si>
  <si>
    <t>7.1.2</t>
  </si>
  <si>
    <t>7.1.3</t>
  </si>
  <si>
    <t>7.1.4</t>
  </si>
  <si>
    <t>7.1.5</t>
  </si>
  <si>
    <t>7.1.6</t>
  </si>
  <si>
    <t>7.2.</t>
  </si>
  <si>
    <t>7.2.1</t>
  </si>
  <si>
    <t>7.2.2</t>
  </si>
  <si>
    <t>7.2.3</t>
  </si>
  <si>
    <t>7.2.4</t>
  </si>
  <si>
    <t>7.2.5</t>
  </si>
  <si>
    <t>7.2.6</t>
  </si>
  <si>
    <t>7.2.7</t>
  </si>
  <si>
    <t>7.3.</t>
  </si>
  <si>
    <t>7.3.1</t>
  </si>
  <si>
    <t>7.3.1.2</t>
  </si>
  <si>
    <t>7.3.1.1</t>
  </si>
  <si>
    <t>7.3.2</t>
  </si>
  <si>
    <t>7.3.3</t>
  </si>
  <si>
    <t>7.3.4</t>
  </si>
  <si>
    <t>7.4.</t>
  </si>
  <si>
    <t>7.4.1</t>
  </si>
  <si>
    <t>7.4.1.1</t>
  </si>
  <si>
    <t>7.4.2</t>
  </si>
  <si>
    <t>7.4.2.1</t>
  </si>
  <si>
    <t>7.4.3</t>
  </si>
  <si>
    <t>7.4.4</t>
  </si>
  <si>
    <t>7.4.5</t>
  </si>
  <si>
    <t>7.4.6</t>
  </si>
  <si>
    <t>7.4.6.1</t>
  </si>
  <si>
    <t>7.4.6.2</t>
  </si>
  <si>
    <t>7.4.7</t>
  </si>
  <si>
    <t>7.4.7.1</t>
  </si>
  <si>
    <t>7.5.</t>
  </si>
  <si>
    <t>7.5.2</t>
  </si>
  <si>
    <t>7.6.</t>
  </si>
  <si>
    <t>7.6.1</t>
  </si>
  <si>
    <t>7.6.1.1</t>
  </si>
  <si>
    <t>7.6.1.2</t>
  </si>
  <si>
    <t>7.6.1.3</t>
  </si>
  <si>
    <t>7.6.1.4</t>
  </si>
  <si>
    <t>8.1.1</t>
  </si>
  <si>
    <t>8.2.1</t>
  </si>
  <si>
    <t>8.3.1</t>
  </si>
  <si>
    <t>9.1</t>
  </si>
  <si>
    <t>9.1.1</t>
  </si>
  <si>
    <t>9.1.1.1</t>
  </si>
  <si>
    <t>9.1.1.2</t>
  </si>
  <si>
    <t>9.1.1.3</t>
  </si>
  <si>
    <t>9.1.1.4</t>
  </si>
  <si>
    <t>9.1.1.5</t>
  </si>
  <si>
    <t>9.1.1.6</t>
  </si>
  <si>
    <t>9.1.1.7</t>
  </si>
  <si>
    <t>9.1.1.8</t>
  </si>
  <si>
    <t>9.1.1.9</t>
  </si>
  <si>
    <t>9.1.1.10</t>
  </si>
  <si>
    <t>9.1.1.11</t>
  </si>
  <si>
    <t>9.1.1.12</t>
  </si>
  <si>
    <t>9.1.1.13</t>
  </si>
  <si>
    <t>9.1.1.14</t>
  </si>
  <si>
    <t>9.1.1.15</t>
  </si>
  <si>
    <t>9.1.1.16</t>
  </si>
  <si>
    <t>9.1.2</t>
  </si>
  <si>
    <t>9.1.2.1</t>
  </si>
  <si>
    <t>9.1.2.2</t>
  </si>
  <si>
    <t>9.1.2.3</t>
  </si>
  <si>
    <t>9.1.2.4</t>
  </si>
  <si>
    <t>9.1.2.5</t>
  </si>
  <si>
    <t>9.1.2.6</t>
  </si>
  <si>
    <t>9.1.2.7</t>
  </si>
  <si>
    <t>9.1.2.8</t>
  </si>
  <si>
    <t>9.1.2.9</t>
  </si>
  <si>
    <t>9.1.2.10</t>
  </si>
  <si>
    <t>9.1.2.11</t>
  </si>
  <si>
    <t>9.1.2.12</t>
  </si>
  <si>
    <t>9.1.2.13</t>
  </si>
  <si>
    <t>9.1.2.14</t>
  </si>
  <si>
    <t>9.1.2.15</t>
  </si>
  <si>
    <t>9.1.2.16</t>
  </si>
  <si>
    <t>9.1.3</t>
  </si>
  <si>
    <t>9.1.3.1</t>
  </si>
  <si>
    <t>9.1.4</t>
  </si>
  <si>
    <t>9.1.4.1</t>
  </si>
  <si>
    <t>9.1.4.2</t>
  </si>
  <si>
    <t>9.1.4.3</t>
  </si>
  <si>
    <t>9.1.4.4</t>
  </si>
  <si>
    <t>9.1.4.5</t>
  </si>
  <si>
    <t>9.1.4.6</t>
  </si>
  <si>
    <t>9.1.4.7</t>
  </si>
  <si>
    <t>9.1.4.8</t>
  </si>
  <si>
    <t>9.1.5</t>
  </si>
  <si>
    <t>9.1.5.1</t>
  </si>
  <si>
    <t>9.1.6</t>
  </si>
  <si>
    <t>9.1.6.1</t>
  </si>
  <si>
    <t>9.1.6.2</t>
  </si>
  <si>
    <t>9.1.7</t>
  </si>
  <si>
    <t>9.1.7.1</t>
  </si>
  <si>
    <t xml:space="preserve"> nosivosti 400 kN </t>
  </si>
  <si>
    <t>Izgradnja priključka na niskonaponsku mrežu, prema važećoj Prethodnoj elektroenergetskoj suglasnosti. 
Priključak obuhvaća:
- samostojeći priključno-mjerni ormarić SPMO, tipsko kućište na betonskom temelju, opremljen tipskim elementima
-  mjerni uređaj (brojilo električne energije)
-  priključni kabelski vod, podzemni
- elektromontažni radovi
- građevinski radovi
Priključak se izvodi u nadležnosti HEP ODS d.o.o. Elektra Bjelovar te je njegova komna izvedba sadržana u cijeni zakupljene angažirane snage
Obračun po priključku zakupljen snage 11,04 kW</t>
  </si>
  <si>
    <t>Crpna stanica u suhoj izvedbi, kom sa prefabriciranim šahtom "Veliki Potočec"</t>
  </si>
  <si>
    <t>Crpna stanica u suhoj izvedbi, kom sa prefabriciranim šahtom "Mali Potoče 1"</t>
  </si>
  <si>
    <t>Crpna stanica u suhoj izvedbi, kom sa prefabriciranim šahtom "Mali Potoče 2"</t>
  </si>
  <si>
    <t>Crpna stanica u suhoj izvedbi, kom sa prefabriciranim šahtom"Mladine"</t>
  </si>
  <si>
    <t>Crpna stanica u suhoj izvedbi, kom sa prefabriciranim šahtom"Majurec"</t>
  </si>
  <si>
    <t>Crpna stanica u suhoj izvedbi, kom sa prefabriciranim šahtom "Lemeš Križevački"</t>
  </si>
  <si>
    <t>Crpna stanica u suhoj izvedbi, kom sa prefabriciranim šahtom"Poljana 1"</t>
  </si>
  <si>
    <t>Crpna stanica u suhoj izvedbi, kom sa prefabriciranim šahtom"Poljana 3"</t>
  </si>
  <si>
    <t>Crpna stanica u suhoj izvedbi, kom sa prefabriciranim šahtom"Poljana 4"</t>
  </si>
  <si>
    <t>Crpna stanica u suhoj izvedbi, kom sa prefabriciranim šahtom"Gračina"</t>
  </si>
  <si>
    <t>Crpna stanica u suhoj izvedbi, kom sa prefabriciranim šahtom"Bukovje"</t>
  </si>
  <si>
    <t>Crpna stanica u suhoj izvedbi, kom sa prefabriciranim šahtom"Prikraj 1"</t>
  </si>
  <si>
    <t>Crpna stanica u suhoj izvedbi, kom sa prefabriciranim šahtom"Prikraj 2"</t>
  </si>
  <si>
    <t>Crpna stanica u suhoj izvedbi, kom sa prefabriciranim šahtom"Brkovčina 1"</t>
  </si>
  <si>
    <t>Crpna stanica u suhoj izvedbi, kom sa prefabriciranim šahtom"Brkovčina 2"</t>
  </si>
  <si>
    <t>Crpna stanica u suhoj izvedbi, kom sa prefabriciranim šahtom"Radnički dol"</t>
  </si>
  <si>
    <t>3. PRELJEVI</t>
  </si>
  <si>
    <t>4. VODOVOD -  IZGRADNJA (GRAĐEVINSKI RADOVI)</t>
  </si>
  <si>
    <t>5. VODOVOD - REKONSTRUKCIJA (GRAĐEVINSKI RADOVI)</t>
  </si>
  <si>
    <t>6. VODOVOD - REKONSTRUKCIJA (STROJARSKI RADOVI)</t>
  </si>
  <si>
    <t>REKONSTRUKCIJA VODOVODA - građevinski radovi</t>
  </si>
  <si>
    <t>7. CRPNE STANICE - građevinski radovi</t>
  </si>
  <si>
    <t>8. CRPNE STANICE - elektro radovi</t>
  </si>
  <si>
    <t>9. CRPNE STANICE -  strojarski radovi</t>
  </si>
  <si>
    <t>2.8.</t>
  </si>
  <si>
    <t>2.8.9.</t>
  </si>
  <si>
    <t>2.8.15.</t>
  </si>
  <si>
    <r>
      <t>Nabava, transport i ugradnja fazonskih lukova od nodularnog lijeva na horizontalnim lomovima cjevovoda s neraskidivim utisnim spojem, za pogonski tlak od 16 bara.</t>
    </r>
    <r>
      <rPr>
        <sz val="11"/>
        <rFont val="Tahoma"/>
        <family val="2"/>
        <charset val="238"/>
      </rPr>
      <t>Spojne elemente treba ugraditi u iskopani rov te ih osigurati horizontalnim i vertikalnim betonskim ukručenjima radi stabilnosti cjevovoda. U jediničnu cijenu uračunati nabavu, transport, te sve potrebne radove na ugradbi - montaži spojnih elemenata od nodularnog lijeva.</t>
    </r>
  </si>
  <si>
    <r>
      <rPr>
        <b/>
        <sz val="11"/>
        <rFont val="Tahoma"/>
        <family val="2"/>
        <charset val="238"/>
      </rPr>
      <t xml:space="preserve"> Nabava, transport i ugradnja fazonskih lukova od nodularnog lijeva na horizontalnim lomovima cjevovoda s neraskidivim utisnim spojem, za pogonski tlak od 25 bara. </t>
    </r>
    <r>
      <rPr>
        <sz val="11"/>
        <rFont val="Tahoma"/>
        <family val="2"/>
        <charset val="238"/>
      </rPr>
      <t>Spojne elemente treba ugraditi u iskopani rov te ih osigurati horizontalnim i vertikalnim betonskim ukručenjima radi stabilnosti cjevovoda. U jediničnu cijenu uračunati nabavu, transport, te sve potrebne radove na ugradbi - montaži spojnih elemenata od nodularnog lijeva.</t>
    </r>
  </si>
  <si>
    <t>1.1.4</t>
  </si>
  <si>
    <t>1.1.5</t>
  </si>
  <si>
    <t>2.1./2.3.</t>
  </si>
  <si>
    <t>1.2.1</t>
  </si>
  <si>
    <t>1.2.2</t>
  </si>
  <si>
    <t>1.2.2.4</t>
  </si>
  <si>
    <t>1.2.2.5</t>
  </si>
  <si>
    <t>1.2.2.6</t>
  </si>
  <si>
    <t>1.2.2.7</t>
  </si>
  <si>
    <t>1.2.2.8</t>
  </si>
  <si>
    <t>1.2.2.9</t>
  </si>
  <si>
    <t>1.2.2.10</t>
  </si>
  <si>
    <t>1.2.2.11</t>
  </si>
  <si>
    <t>1.2.3</t>
  </si>
  <si>
    <t>2.3.9.8.</t>
  </si>
  <si>
    <t>2.3./ 2.3.20.</t>
  </si>
  <si>
    <t>1.3.11</t>
  </si>
  <si>
    <t>Geotekstil</t>
  </si>
  <si>
    <t>2.4.6.</t>
  </si>
  <si>
    <t>Izrada nasipa</t>
  </si>
  <si>
    <t>Spojnica s dvostrukim naglavkom DN 110 mm, PN 10 bar</t>
  </si>
  <si>
    <t>Spojnica s dvostrukim naglavkom DN 160 mm, PN 10 bar</t>
  </si>
  <si>
    <t>2.9.26.</t>
  </si>
  <si>
    <t>2.9.27</t>
  </si>
  <si>
    <t>2.9.29</t>
  </si>
  <si>
    <t>2.9.31</t>
  </si>
  <si>
    <t>2.9.32</t>
  </si>
  <si>
    <t>2.9.34</t>
  </si>
  <si>
    <t>2.9.35</t>
  </si>
  <si>
    <t>Prekop za produktnu cijev   DN 160</t>
  </si>
  <si>
    <t>Prekop za produktnu cijev   DN 110</t>
  </si>
  <si>
    <t>Plastični prstenovi h=90 mm, klizači tipa M za cijev   DN 160</t>
  </si>
  <si>
    <t>Plastični prstenovi h=75 mm, klizači tipa F za cijev   DN 110</t>
  </si>
  <si>
    <t>Z brtve za produktnu cijev   DN 160</t>
  </si>
  <si>
    <t>Z brtve za produktnu cijev   DN 110</t>
  </si>
  <si>
    <t>Hidrauličko bušenje za produktnu   DN 110 cijev</t>
  </si>
  <si>
    <t xml:space="preserve"> Luk od nodularnog lijeva, DN 110, α = 45,00°</t>
  </si>
  <si>
    <t xml:space="preserve"> Luk od nodularnog lijeva, DN 110, α = 22,30°</t>
  </si>
  <si>
    <t xml:space="preserve"> Luk od nodularnog lijeva, DN 110, α = 11,15°</t>
  </si>
  <si>
    <t xml:space="preserve"> Luk od nodularnog lijeva, DN 160, α = 45,00°</t>
  </si>
  <si>
    <t xml:space="preserve"> Luk od nodularnog lijeva, DN 160, α = 22,30°</t>
  </si>
  <si>
    <t>Cijev sa spojem DN 300</t>
  </si>
  <si>
    <t>Cijev sa neraskidivim utisnim spojem  DN 300</t>
  </si>
  <si>
    <t>Spojni element 90°, DN 110 mm, PN 10 bara</t>
  </si>
  <si>
    <t>Spojni element 45°, DN 110 mm, PN 10 bara</t>
  </si>
  <si>
    <t>Spojni element 30°, DN 110 mm, PN 10 bara</t>
  </si>
  <si>
    <t>Spojni element 15°, DN 110 mm, PN 10 bara</t>
  </si>
  <si>
    <t>Spojni element 90°, DN 160 mm, PN 10 bara</t>
  </si>
  <si>
    <t>Spojni element 45°, DN 160 mm, PN 10 bara</t>
  </si>
  <si>
    <t>Spojni element 30°, DN 160 mm, PN 10 bara</t>
  </si>
  <si>
    <t>Cijev s neraskidivim utisnim spojem, DN/OD 160, dozvoljeni radni tlak 25 bara</t>
  </si>
  <si>
    <t>DN 100, 3 zasuna</t>
  </si>
  <si>
    <t>Spojnica DN 160/DN150</t>
  </si>
  <si>
    <t xml:space="preserve">Spojnica  DN 110/DN100 </t>
  </si>
  <si>
    <t xml:space="preserve">Spojnica </t>
  </si>
  <si>
    <t>Spojnica   DN 160/DN 150</t>
  </si>
  <si>
    <t>Spojnica   DN 110/DN 100</t>
  </si>
  <si>
    <t>Spojnica   DN 80/DN 90</t>
  </si>
  <si>
    <t>Spojnica DN 110/DN 100</t>
  </si>
  <si>
    <t>Spojnica DN 160/DN 150</t>
  </si>
  <si>
    <t>Spojnica   DN110/DN100</t>
  </si>
  <si>
    <t>Spojnica   DN90/DN100</t>
  </si>
  <si>
    <t>MMA komad za nodularnu cijevi DN 110/DN 100</t>
  </si>
  <si>
    <t>MMA komad za nodularne cijevi DN 160/DN 100</t>
  </si>
  <si>
    <t>MMA komad nodularni DN 110/DN 80</t>
  </si>
  <si>
    <t>Plastični prstenovi h=75 mm, klizači tipa F za cijev nodularnu  DN 110</t>
  </si>
  <si>
    <t>Z brtve za produktnu cijev nodularnu DN 110</t>
  </si>
  <si>
    <t>nodularna DN 110 mm</t>
  </si>
  <si>
    <t>nodularna DN 160 mm</t>
  </si>
  <si>
    <t>Plastični prstenovi h=60 mm, klizači tipa F za cijev  DN 110</t>
  </si>
  <si>
    <t>Plastični prstenovi h=60 mm, klizači tipa F/G za cijev DN 160</t>
  </si>
  <si>
    <t>2.5.20.</t>
  </si>
  <si>
    <t>Izrada elaborata sondiranja prometnica sondama svakih 200 m</t>
  </si>
  <si>
    <t>Izrada izvedbenog projekta po svim strukovnim odrednicama</t>
  </si>
  <si>
    <t>Izrada projekta izvedenog stanja po svim strukovnim odrednicama</t>
  </si>
  <si>
    <t xml:space="preserve">Izrada geodetskog elaborata izvedenog stanja kolektora i prometnica
</t>
  </si>
  <si>
    <t>Izrada projekta izvedenog stanja  po svim strukovnim odrednicama</t>
  </si>
  <si>
    <t>Izrada geodetskog elaborata izvedenog stanja - cijevi i okna</t>
  </si>
  <si>
    <t>Izrada elaborata iskolčenja cjevovoda i prometnice</t>
  </si>
  <si>
    <t xml:space="preserve">Izrada geodetskog elaborata izvedenog stanja 
</t>
  </si>
  <si>
    <t xml:space="preserve">Izrada elaboarata iskolčenja </t>
  </si>
  <si>
    <t>Priprema za kućni priključak TIP 1 duljine do 10m - prekop</t>
  </si>
  <si>
    <t>Priprema za kućni priključak TIP 1a duljine do 6m - prekop</t>
  </si>
  <si>
    <t>Priprema za kućni priključak TIP 2 duljine do 14m - bušenje</t>
  </si>
  <si>
    <t>Priprema za kućni priključak TIP 2a duljine do 5m - bušenje</t>
  </si>
  <si>
    <t xml:space="preserve">	Izrada i montaža kućnih priključaka duljine do 10 m - prekop</t>
  </si>
  <si>
    <t>Izrada i montaža kućnih priključaka duljine do 15 m - prekop</t>
  </si>
  <si>
    <t>2.9.5.1</t>
  </si>
  <si>
    <t>2.9.5.2</t>
  </si>
  <si>
    <t>2.9.5.3</t>
  </si>
  <si>
    <t xml:space="preserve">Izrada i montaža kućnih priključaka duljine do 15 m  - hidrauličkim bušenjem </t>
  </si>
  <si>
    <t>2.9.5.4</t>
  </si>
  <si>
    <t>1.8.9</t>
  </si>
  <si>
    <t>Pripomoć za arheološke radove</t>
  </si>
  <si>
    <t>2.1.46.</t>
  </si>
  <si>
    <t>radnik IV kategorije</t>
  </si>
  <si>
    <t>stroj (bager)</t>
  </si>
  <si>
    <t>h</t>
  </si>
  <si>
    <t>1.8.9.1</t>
  </si>
  <si>
    <t>1.8.9.2</t>
  </si>
  <si>
    <t>PODSUSTAV „KRIŽEVCI - ISTOK“</t>
  </si>
  <si>
    <t>PODSUSTAV „KRIŽEVCI - JUG“</t>
  </si>
  <si>
    <t>PODSUSTAV „KRIŽEVCI - JUGOZAPAD“</t>
  </si>
  <si>
    <t>PODSUSTAV „KRIŽEVCI - ZAPAD“</t>
  </si>
  <si>
    <t xml:space="preserve">SEKUNDARNI VODOOPSKRBNI CJEVOVOD U POLJANI KRIŽEVAČKOJ 
</t>
  </si>
  <si>
    <t xml:space="preserve">GRAD KRIŽEVCI
</t>
  </si>
  <si>
    <t xml:space="preserve">Zona Greberanec 
</t>
  </si>
  <si>
    <t>1. KOLEKTORI - IZGRADNJA I REKONSTRUKCIJA</t>
  </si>
  <si>
    <t>2. KOLEKTORI - SANACIJA (CIPP)</t>
  </si>
  <si>
    <t>REKONSTRUKCIJA KOLEKTORA</t>
  </si>
  <si>
    <t>IZGRADNJA KOLEKTORA</t>
  </si>
  <si>
    <t>„KRIŽEVCI -CENTAR“</t>
  </si>
  <si>
    <t xml:space="preserve">PODSUSTAV „KRIŽEVCI - SJEVEROISTOK“
</t>
  </si>
  <si>
    <t xml:space="preserve">
Razvoj vodnokomunalne infrastrukture aglomeracije Križevci
REKONSTRUKCIJA I IZGRADNJA SUSTAVA VODOOPSKRBE I ODVODNJE
</t>
  </si>
  <si>
    <t xml:space="preserve">CJELINA 3
NASELJA MLADINE, MALI POTOČEC, VELIKI POTOČEC
  I FAZA
L = 9759 m </t>
  </si>
  <si>
    <t xml:space="preserve">CJELINA 3
NASELJA MLADINE, MALI POTOČEC, VELIKI POTOČEC
 II FAZA
L = 800 m </t>
  </si>
  <si>
    <t xml:space="preserve">CJELINA 4
NASELJA MAJUREC, LEMEŠ KRIŽEVAČKI, I GOSP. ZONA ČRET.
L = 4972 m </t>
  </si>
  <si>
    <t xml:space="preserve">CJELINA 7
 NASELJA LEMEŠ, V. RAVEN, ITD.
1. FAZA : MREŽA NASELJA PRIKRAJ KRIŽEVAČKI
L = 2649 m </t>
  </si>
  <si>
    <t>Polipropilenske punostijene ili GRP ili  PVC cijevi - gravitacijske</t>
  </si>
  <si>
    <t>DN 250</t>
  </si>
  <si>
    <t xml:space="preserve">DN 500 </t>
  </si>
  <si>
    <t>DN 600</t>
  </si>
  <si>
    <t>GRP cijevi - gravitacijske</t>
  </si>
  <si>
    <t xml:space="preserve">DN 400 </t>
  </si>
  <si>
    <t>Polietilenske cijevi PE 100 PN 10 SDR 17 - tlačne</t>
  </si>
  <si>
    <t>DN 90</t>
  </si>
  <si>
    <t>DN 110</t>
  </si>
  <si>
    <t>DN 140</t>
  </si>
  <si>
    <t>Revizijska okna od prefabriciranog ili monolitnog betona</t>
  </si>
  <si>
    <t>1.4.3.1.</t>
  </si>
  <si>
    <t>AB vijenac od prefabricirane AB cijevi</t>
  </si>
  <si>
    <t>2.5.6.2.</t>
  </si>
  <si>
    <t>AB donji prsten okna</t>
  </si>
  <si>
    <r>
      <t xml:space="preserve">AB donji prsten okna C 25/30 veličine </t>
    </r>
    <r>
      <rPr>
        <b/>
        <sz val="11"/>
        <rFont val="Tahoma"/>
        <family val="2"/>
        <charset val="238"/>
      </rPr>
      <t>3.64 m2</t>
    </r>
  </si>
  <si>
    <t>2.5.7.</t>
  </si>
  <si>
    <r>
      <t xml:space="preserve">AB donji prsten okna C 25/30 veličine </t>
    </r>
    <r>
      <rPr>
        <b/>
        <sz val="11"/>
        <rFont val="Tahoma"/>
        <family val="2"/>
        <charset val="238"/>
      </rPr>
      <t>2.92 m2</t>
    </r>
  </si>
  <si>
    <t>AB gornja zaštitna ploča  okna</t>
  </si>
  <si>
    <t>1.4.5.1</t>
  </si>
  <si>
    <r>
      <t>AB ploča za  okna veličine</t>
    </r>
    <r>
      <rPr>
        <b/>
        <sz val="11"/>
        <rFont val="Tahoma"/>
        <family val="2"/>
      </rPr>
      <t xml:space="preserve"> 2.92 m2 </t>
    </r>
  </si>
  <si>
    <t>2.5.8.1.</t>
  </si>
  <si>
    <t>1.4.5.2</t>
  </si>
  <si>
    <r>
      <t xml:space="preserve">AB ploča za  okna veličine </t>
    </r>
    <r>
      <rPr>
        <b/>
        <sz val="11"/>
        <rFont val="Tahoma"/>
        <family val="2"/>
      </rPr>
      <t xml:space="preserve">1.7 m2 </t>
    </r>
  </si>
  <si>
    <t>2.5.8.2.</t>
  </si>
  <si>
    <t>1.4.5.3</t>
  </si>
  <si>
    <r>
      <t xml:space="preserve">AB ploča za  okna TIP 1 i TIP 2 110x110x20cm s otvorom </t>
    </r>
    <r>
      <rPr>
        <sz val="11"/>
        <rFont val="GreekC"/>
        <charset val="238"/>
      </rPr>
      <t>F</t>
    </r>
    <r>
      <rPr>
        <sz val="11"/>
        <rFont val="Tahoma"/>
        <family val="2"/>
      </rPr>
      <t>60</t>
    </r>
  </si>
  <si>
    <t>2.5.8.4</t>
  </si>
  <si>
    <t>1.4.5.4</t>
  </si>
  <si>
    <r>
      <t xml:space="preserve">AB ploča za  okna TIP 1, TIP 1a, TIP 2 95x95x20cm s otvorom </t>
    </r>
    <r>
      <rPr>
        <sz val="11"/>
        <rFont val="GreekC"/>
        <charset val="238"/>
      </rPr>
      <t>F</t>
    </r>
    <r>
      <rPr>
        <sz val="11"/>
        <rFont val="Tahoma"/>
        <family val="2"/>
      </rPr>
      <t>70</t>
    </r>
  </si>
  <si>
    <t>1.4.6.</t>
  </si>
  <si>
    <t>AB donja zaštitna ploča gornje ploče  okna</t>
  </si>
  <si>
    <t>1.4.6.1</t>
  </si>
  <si>
    <r>
      <t xml:space="preserve">AB ploča za  okna TIP 1 i TIP 2 140x140x20cm s otvorom </t>
    </r>
    <r>
      <rPr>
        <sz val="11"/>
        <rFont val="GreekS"/>
        <charset val="238"/>
      </rPr>
      <t>F</t>
    </r>
    <r>
      <rPr>
        <sz val="11"/>
        <rFont val="Tahoma"/>
        <family val="2"/>
      </rPr>
      <t>7</t>
    </r>
    <r>
      <rPr>
        <sz val="11"/>
        <rFont val="Tahoma"/>
        <family val="2"/>
        <charset val="238"/>
      </rPr>
      <t>0</t>
    </r>
  </si>
  <si>
    <t>2.5.9.1</t>
  </si>
  <si>
    <t>1.4.6.2</t>
  </si>
  <si>
    <r>
      <t xml:space="preserve">AB ploča za  okna TIP 1, TIP 1a i TIP 2 120x120x20cm s otvorom </t>
    </r>
    <r>
      <rPr>
        <sz val="11"/>
        <rFont val="GreekS"/>
        <charset val="238"/>
      </rPr>
      <t>F</t>
    </r>
    <r>
      <rPr>
        <sz val="11"/>
        <rFont val="Tahoma"/>
        <family val="2"/>
      </rPr>
      <t>70</t>
    </r>
  </si>
  <si>
    <t>1.4.7.</t>
  </si>
  <si>
    <t>1.4.8.</t>
  </si>
  <si>
    <t>1.4.8.1</t>
  </si>
  <si>
    <t>1.4.8.2</t>
  </si>
  <si>
    <t>1.4.9.</t>
  </si>
  <si>
    <t>Beton za pad C16/20</t>
  </si>
  <si>
    <t>2.5.22.</t>
  </si>
  <si>
    <t>1.4.10.</t>
  </si>
  <si>
    <t>1.4.10.1</t>
  </si>
  <si>
    <t>1.4.10.2</t>
  </si>
  <si>
    <t>Obnova asfaltnog prilaza i propusta prosječne širine 2.5m i dužine 5m</t>
  </si>
  <si>
    <t>Obnova asfaltnog prilaza i propusta prosječne širine 2.5m i dužine 7m</t>
  </si>
  <si>
    <t>Obnova asfaltnog prilaza i propusta prosječne širine 2.5m i dužine 10m</t>
  </si>
  <si>
    <t>Obnova zemljanog prilaza i propusta prosječne širine 2.5m i dužine 5m</t>
  </si>
  <si>
    <t xml:space="preserve">CJELINA 5
 NASELJA POLJANA KRIŽEVAČKA, GRAČANI, CUBINEC I BUKOVJE KRIŽEVAČKO
L = 16510 m </t>
  </si>
  <si>
    <t xml:space="preserve"> CJELINA 8
NASELJA KORUŠKA, D. I G. BRCKOVČINA, KARANE, GREBERANEC, PESEK, RADNIČKI DOL, G. VINE, ZAGORSKA, DIJANKOVEC, ERDOVEC, PODGAJEC
L = 18592 m </t>
  </si>
  <si>
    <t xml:space="preserve">CJELINA 2A
KOLEKTOR „VRTLIN“
L = 3420 m
</t>
  </si>
  <si>
    <t xml:space="preserve">CJELINA 2B
GLAVNI KOLEKTOR SLIVA SIFONA 6
L = 1507 m
</t>
  </si>
  <si>
    <t>CJELINA 1
PODRUČJE SLIVA „KORUŠKA“
L = 3894 m</t>
  </si>
  <si>
    <t>Obnova betonskog prilaza i propusta</t>
  </si>
  <si>
    <t>Obnova asfaltnog prilaza i propusta</t>
  </si>
  <si>
    <t>maksimalne širine 2.5m i dužine 5m</t>
  </si>
  <si>
    <t>maksimalne širine 2.5m i dužine 7m</t>
  </si>
  <si>
    <t>maksimalne širine 2.5m i dužine 10m</t>
  </si>
  <si>
    <t>maksimalnee širine 2.5m i dužine 10m</t>
  </si>
  <si>
    <r>
      <t xml:space="preserve">Pristupni put dulljine do </t>
    </r>
    <r>
      <rPr>
        <b/>
        <sz val="11"/>
        <rFont val="Tahoma"/>
        <family val="2"/>
        <charset val="238"/>
      </rPr>
      <t>5m</t>
    </r>
  </si>
  <si>
    <r>
      <t xml:space="preserve">Pristupni put dulljine do </t>
    </r>
    <r>
      <rPr>
        <b/>
        <sz val="11"/>
        <rFont val="Tahoma"/>
        <family val="2"/>
        <charset val="238"/>
      </rPr>
      <t>7m</t>
    </r>
  </si>
  <si>
    <t xml:space="preserve">Izrada elaborata iskolčenja </t>
  </si>
  <si>
    <t>1.1.6</t>
  </si>
  <si>
    <t>1.1.7</t>
  </si>
  <si>
    <t xml:space="preserve">Izrada geodetskog elaborata nultog stanja 
</t>
  </si>
  <si>
    <t>1.9.2./2.2.4</t>
  </si>
  <si>
    <t>2.2.6.</t>
  </si>
  <si>
    <t>2.2.7.</t>
  </si>
  <si>
    <t>1.2.4</t>
  </si>
  <si>
    <t>Probni rovovi na mjestima postojećih instalacija</t>
  </si>
  <si>
    <t>2.3.8.</t>
  </si>
  <si>
    <t>1.2.4.1</t>
  </si>
  <si>
    <t>1.2.4.2</t>
  </si>
  <si>
    <r>
      <t>Pristupni put dulljine do</t>
    </r>
    <r>
      <rPr>
        <b/>
        <sz val="11"/>
        <rFont val="Tahoma"/>
        <family val="2"/>
        <charset val="238"/>
      </rPr>
      <t>10m</t>
    </r>
  </si>
  <si>
    <r>
      <t xml:space="preserve">Pristupni put duljine do </t>
    </r>
    <r>
      <rPr>
        <b/>
        <sz val="11"/>
        <rFont val="Tahoma"/>
        <family val="2"/>
        <charset val="238"/>
      </rPr>
      <t>5m</t>
    </r>
  </si>
  <si>
    <r>
      <t xml:space="preserve">Pristupni put duljine do </t>
    </r>
    <r>
      <rPr>
        <b/>
        <sz val="11"/>
        <rFont val="Tahoma"/>
        <family val="2"/>
        <charset val="238"/>
      </rPr>
      <t>7m</t>
    </r>
  </si>
  <si>
    <r>
      <t xml:space="preserve">Pristupni put duljine do </t>
    </r>
    <r>
      <rPr>
        <b/>
        <sz val="11"/>
        <rFont val="Tahoma"/>
        <family val="2"/>
        <charset val="238"/>
      </rPr>
      <t>10m</t>
    </r>
  </si>
  <si>
    <t>1.2.4.3</t>
  </si>
  <si>
    <t>1.2.4.2.1</t>
  </si>
  <si>
    <t>1.2.4.2.2</t>
  </si>
  <si>
    <t>1.2.4.2.3</t>
  </si>
  <si>
    <t>1.2.4.3.1</t>
  </si>
  <si>
    <t>1.2.4.3.2</t>
  </si>
  <si>
    <t>1.2.4.3.3</t>
  </si>
  <si>
    <r>
      <t xml:space="preserve">Pristupni put duljine do </t>
    </r>
    <r>
      <rPr>
        <b/>
        <sz val="11"/>
        <rFont val="Tahoma"/>
        <family val="2"/>
        <charset val="238"/>
      </rPr>
      <t>6m</t>
    </r>
  </si>
  <si>
    <t>Uklanjanje pristupnih puteva i propusta širine do 1.5 m</t>
  </si>
  <si>
    <t>Uklanjanje pristupnih asfaltnih puteva i propusta širine do 2.5 m</t>
  </si>
  <si>
    <t>Uklanjanje pristupnih betonskih puteva i propusta širine do 2.5 m</t>
  </si>
  <si>
    <t>Uklanjanje pristupnih makadamskih puteva i propusta širine do 2.5 m</t>
  </si>
  <si>
    <r>
      <t xml:space="preserve">makadam duljine do </t>
    </r>
    <r>
      <rPr>
        <b/>
        <sz val="11"/>
        <rFont val="Tahoma"/>
        <family val="2"/>
        <charset val="238"/>
      </rPr>
      <t>5m</t>
    </r>
  </si>
  <si>
    <r>
      <t xml:space="preserve">beton duljine do </t>
    </r>
    <r>
      <rPr>
        <b/>
        <sz val="11"/>
        <rFont val="Tahoma"/>
        <family val="2"/>
        <charset val="238"/>
      </rPr>
      <t>5m</t>
    </r>
  </si>
  <si>
    <r>
      <t xml:space="preserve">asfalt duljine do </t>
    </r>
    <r>
      <rPr>
        <b/>
        <sz val="11"/>
        <rFont val="Tahoma"/>
        <family val="2"/>
        <charset val="238"/>
      </rPr>
      <t>5m</t>
    </r>
  </si>
  <si>
    <t>1.2.4.4.1</t>
  </si>
  <si>
    <t>1.2.4.4.2</t>
  </si>
  <si>
    <t>1.2.4.4.3</t>
  </si>
  <si>
    <t>1.2.4.4.4</t>
  </si>
  <si>
    <t>1.2.4.5.1</t>
  </si>
  <si>
    <t>1.2.4.5.2</t>
  </si>
  <si>
    <t>1.2.4.5.3</t>
  </si>
  <si>
    <t>1.2.4.13.5</t>
  </si>
  <si>
    <t>1.2.4.13.6</t>
  </si>
  <si>
    <t>1.2.4.13.7</t>
  </si>
  <si>
    <t>1.2.4.13.8</t>
  </si>
  <si>
    <t>1.2.4.13.9</t>
  </si>
  <si>
    <t>1.2.4.13.10</t>
  </si>
  <si>
    <t>1.2.4.15</t>
  </si>
  <si>
    <t>1.2.4.15.1</t>
  </si>
  <si>
    <t>1.2.4.15.2</t>
  </si>
  <si>
    <t>1.2.4.15.3</t>
  </si>
  <si>
    <t>1.2.4.15.4</t>
  </si>
  <si>
    <t>1.2.4.16</t>
  </si>
  <si>
    <t>1.2.4.16.1</t>
  </si>
  <si>
    <t>1.2.4.16.2</t>
  </si>
  <si>
    <t>1.2.4.16.3</t>
  </si>
  <si>
    <t>Skidanje humusa prosječne debljine 20-30cm</t>
  </si>
  <si>
    <t>Izrada AB okna</t>
  </si>
  <si>
    <t>2.5.13</t>
  </si>
  <si>
    <t>Prijelazni komad s okna na   cijev DN 90 mm</t>
  </si>
  <si>
    <t>Prijelazni komad s okna na   cijev DN 140 mm</t>
  </si>
  <si>
    <t>Prijelazni komad s okna na   cijev DN 250 mm</t>
  </si>
  <si>
    <t>Prijelazni komad s okna na   cijev DN 300 mm</t>
  </si>
  <si>
    <t>Prijelazni komad s okna na   cijev DN 400 mm</t>
  </si>
  <si>
    <t>Prijelazni komad s okna na   cijev DN 500 mm</t>
  </si>
  <si>
    <t>Prijelazni komad s okna na   cijev DN 600 mm</t>
  </si>
  <si>
    <t>Prijelazni komad s okna na   cijev DN 800 mm</t>
  </si>
  <si>
    <t>2.8.1</t>
  </si>
  <si>
    <t xml:space="preserve">PP ili PVC cijevi - gravitacijske </t>
  </si>
  <si>
    <t>2.8.3</t>
  </si>
  <si>
    <t>2.8.2</t>
  </si>
  <si>
    <t>2.8.4</t>
  </si>
  <si>
    <t>4.1.6</t>
  </si>
  <si>
    <t>4.1.7</t>
  </si>
  <si>
    <t>2.8.12.</t>
  </si>
  <si>
    <t>2.4.7</t>
  </si>
  <si>
    <t>2.4.8</t>
  </si>
  <si>
    <t>Završni sloj od drobljenog kamenog materijala 0 do 32 mm</t>
  </si>
  <si>
    <t>2.4.11</t>
  </si>
  <si>
    <t>2.4.16</t>
  </si>
  <si>
    <t>Utovar i odvoz viška materijala</t>
  </si>
  <si>
    <t>izrada AB monolitnog okna</t>
  </si>
  <si>
    <t>2.4.11.</t>
  </si>
  <si>
    <t>2.6.3.1</t>
  </si>
  <si>
    <t>AC 11 surf 50/70 AG3 M3-E debljine 4cm</t>
  </si>
  <si>
    <t>2.6.9</t>
  </si>
  <si>
    <t>2.6.10.</t>
  </si>
  <si>
    <t>2.6.10</t>
  </si>
  <si>
    <t>2.6.13</t>
  </si>
  <si>
    <t>2.6.13.1</t>
  </si>
  <si>
    <t>2.6.13.2</t>
  </si>
  <si>
    <t>2.6.13.3</t>
  </si>
  <si>
    <t>2.6.15.</t>
  </si>
  <si>
    <t>2.8.6.</t>
  </si>
  <si>
    <t>2.8.18</t>
  </si>
  <si>
    <t>2.8.7</t>
  </si>
  <si>
    <t>2.8.9</t>
  </si>
  <si>
    <t>2.8.11</t>
  </si>
  <si>
    <t>2.8.13</t>
  </si>
  <si>
    <t>2.8.19</t>
  </si>
  <si>
    <t>2.8.25.</t>
  </si>
  <si>
    <t>Lijevano željezne penjalice,  3 kom/m</t>
  </si>
  <si>
    <t>2.8.25.1</t>
  </si>
  <si>
    <t>1.6.2.1</t>
  </si>
  <si>
    <t>1.6.2.2</t>
  </si>
  <si>
    <t>1.6.2.3</t>
  </si>
  <si>
    <t>DN 160 (za nastavke kućnih priključaka)</t>
  </si>
  <si>
    <t>2.9</t>
  </si>
  <si>
    <t>2.9.1</t>
  </si>
  <si>
    <t>2.9.2</t>
  </si>
  <si>
    <r>
      <t xml:space="preserve">Poklopci - kompozitni </t>
    </r>
    <r>
      <rPr>
        <sz val="11"/>
        <rFont val="Symbol"/>
        <family val="1"/>
        <charset val="2"/>
      </rPr>
      <t>f</t>
    </r>
    <r>
      <rPr>
        <sz val="11"/>
        <rFont val="Tahoma"/>
        <family val="2"/>
        <charset val="238"/>
      </rPr>
      <t>600 nosivosti 400 kN</t>
    </r>
  </si>
  <si>
    <t>2.9.36.</t>
  </si>
  <si>
    <t>GRP DN 1000</t>
  </si>
  <si>
    <t>Fazonski komadi za GRP</t>
  </si>
  <si>
    <t>Spojnice za GRP</t>
  </si>
  <si>
    <t xml:space="preserve"> DN 1200 mm</t>
  </si>
  <si>
    <t xml:space="preserve"> DN 1000 mm</t>
  </si>
  <si>
    <t xml:space="preserve"> DN 600 mm</t>
  </si>
  <si>
    <t xml:space="preserve"> DN 800 mm</t>
  </si>
  <si>
    <r>
      <t xml:space="preserve">Poklopci - kompozitni  </t>
    </r>
    <r>
      <rPr>
        <sz val="11"/>
        <rFont val="Symbol"/>
        <family val="1"/>
        <charset val="2"/>
      </rPr>
      <t>f</t>
    </r>
    <r>
      <rPr>
        <sz val="11"/>
        <rFont val="Tahoma"/>
        <family val="2"/>
        <charset val="238"/>
      </rPr>
      <t xml:space="preserve"> 600 mm - nosivosti 400 kN </t>
    </r>
  </si>
  <si>
    <t>2.8.14.</t>
  </si>
  <si>
    <t>2.8.26.</t>
  </si>
  <si>
    <t>2.8.25.1.</t>
  </si>
  <si>
    <t>2.8.25.2.</t>
  </si>
  <si>
    <t>Nabava, transport i montaža sigurnosnih ljestvi od inox čelika</t>
  </si>
  <si>
    <t>2.8.21.</t>
  </si>
  <si>
    <t>2.4.5</t>
  </si>
  <si>
    <t>Zatrpavanje rova, hidranta i zasunskih okana zamjenskim materijalom</t>
  </si>
  <si>
    <t>Tampon</t>
  </si>
  <si>
    <t>Betonsko ukrućenje, betonska uporišta C 25/30</t>
  </si>
  <si>
    <t>Izrada unutarnjeg premaza zidova i stropa polimercementom</t>
  </si>
  <si>
    <t>Izrada nosivog sloja od drobljenog kamena stabiliziranog cementom - Debljina 25 cm</t>
  </si>
  <si>
    <t>2.6.4.</t>
  </si>
  <si>
    <t>AC 22 base 50/70 AG debljine 6 cm</t>
  </si>
  <si>
    <t>2.6.12.</t>
  </si>
  <si>
    <t>2.6.13.</t>
  </si>
  <si>
    <t>2.6.14.</t>
  </si>
  <si>
    <t xml:space="preserve">Poklopci - kompozitni f600 nosivosti 400 kN </t>
  </si>
  <si>
    <t>5.6.1.</t>
  </si>
  <si>
    <t>2.8.16.</t>
  </si>
  <si>
    <t>Ugradnja čeličnih stupića s pločicom(okna)</t>
  </si>
  <si>
    <t>2.9.5.6</t>
  </si>
  <si>
    <t>2.9.24.</t>
  </si>
  <si>
    <t>Osiguranje vodoopskrbe stanovništva na području rekonstrukcije 
vodoopskrbne mreže uključujući statički proračun cijevi</t>
  </si>
  <si>
    <t>2.9.25/2.9.26</t>
  </si>
  <si>
    <t>Hidrauličko bušenje za produktnu cijev od nodularnog lijeva DN 110 cijev</t>
  </si>
  <si>
    <t>Hidrauličko bušenje za produktnu  cijev od nodularnog lijeva DN 160 cijev</t>
  </si>
  <si>
    <t>Z brtve za produktnu cijev  cijev od nodularnog lijeva DN 110</t>
  </si>
  <si>
    <t>Z brtve za produktnu cijev  cijev od nodularnog lijeva DN 160</t>
  </si>
  <si>
    <t>1.9.10.</t>
  </si>
  <si>
    <t>2.9.10.</t>
  </si>
  <si>
    <t>Nodularni lijev DN 110 mm</t>
  </si>
  <si>
    <t>Nodularni lijev DN 160 mm</t>
  </si>
  <si>
    <t>5.9.</t>
  </si>
  <si>
    <t>Mimovodi</t>
  </si>
  <si>
    <t>Fazonski komad EBS 200</t>
  </si>
  <si>
    <t>Fazonski komad EBS 100</t>
  </si>
  <si>
    <t>Fazonski komad EBS 80</t>
  </si>
  <si>
    <t>Fazonski komad FFR 200/100</t>
  </si>
  <si>
    <t>Fazonski komad Q komad 100</t>
  </si>
  <si>
    <t>Fazonski komad N komad 110</t>
  </si>
  <si>
    <t>Elektro tuljak  DN 110</t>
  </si>
  <si>
    <t>Slobodna prirubnica za tuljak DN 110</t>
  </si>
  <si>
    <t>Elektrospojnica 110</t>
  </si>
  <si>
    <t>Elektrokoljeno 110 / 90°</t>
  </si>
  <si>
    <t>elektro T komad 110</t>
  </si>
  <si>
    <t>prijelazni komad PE/PVC  E- PEHD 2000  DN 200</t>
  </si>
  <si>
    <t>prijelazni komad PE/PVC  E- PEHD 2000  DN 180</t>
  </si>
  <si>
    <t>prijelazni komad PE/PVC  E- PEHD 2000  DN 160</t>
  </si>
  <si>
    <t>prijelazni komad PE/PVC  E- PEHD 2000  DN 100</t>
  </si>
  <si>
    <t>prijelazni komad PE/PVC  E- PEHD 2000  DN 90</t>
  </si>
  <si>
    <t>prijelazni komad pocinčana cijev - PE,PEHD 1"</t>
  </si>
  <si>
    <t>prijelazni komad pocinčana cijev - PE,PEHD 3/4"</t>
  </si>
  <si>
    <t>mehanička obujmica za priključke na PE, PEHD 110/32</t>
  </si>
  <si>
    <t>Zasun DN 200</t>
  </si>
  <si>
    <t>Zasun DN 180</t>
  </si>
  <si>
    <t>Zasun DN 160</t>
  </si>
  <si>
    <t>Zasun DN 100</t>
  </si>
  <si>
    <t>Zasun DN 80</t>
  </si>
  <si>
    <t>Zasun DN 6/4"</t>
  </si>
  <si>
    <t>IKS ploča 200  s rupom 2"</t>
  </si>
  <si>
    <t>IKS ploča 180  s rupom 2"</t>
  </si>
  <si>
    <t>IKS ploča 160  s rupom 2"</t>
  </si>
  <si>
    <t>IKS ploča 100  s rupom 2"</t>
  </si>
  <si>
    <t>IKS ploča 80  s rupom 2"</t>
  </si>
  <si>
    <t>Spojnica MS 2" Ž</t>
  </si>
  <si>
    <t>PEHD cijev DN 110</t>
  </si>
  <si>
    <t>PEHD cijev DN 63</t>
  </si>
  <si>
    <t>PEHD cijev DN 32</t>
  </si>
  <si>
    <t>PEHD cijev DN 25</t>
  </si>
  <si>
    <t>PEHD cijev DN 20</t>
  </si>
  <si>
    <t>Brzospajajuća utisna spojnica - spojnica DN 6/4"</t>
  </si>
  <si>
    <t>Brzospajajuća utisna spojnica - spojnica DN 2"</t>
  </si>
  <si>
    <t>Brzospajajuća utisna spojnica - T komad DN 63/25/63</t>
  </si>
  <si>
    <t>Brzospajajuća utisna spojnica - T komad DN 63/32/63</t>
  </si>
  <si>
    <t>Brzospajajuća utisna spojnica - T komad DN 63/20/64</t>
  </si>
  <si>
    <t>Brzospajajuća utisna spojnica - T komad DN 32/25/32</t>
  </si>
  <si>
    <t>Brzospajajuća utisna spojnica - T komad DN 25/25/25</t>
  </si>
  <si>
    <t>Brzospajajuća utisna spojnica - dupla spojnica DN 32/32</t>
  </si>
  <si>
    <t>Brzospajajuća utisna spojnica - dupla spojnica DN 25/25</t>
  </si>
  <si>
    <t>Brzospajajuća utisna spojnica - redukcijska spojnica DN 32/25</t>
  </si>
  <si>
    <t>Brzospajajuća utisna spojnica - redukcijska spojnica DN 25/20</t>
  </si>
  <si>
    <t>Brzospajajuća utisna spojnica - redukcijska spojnica DN 2"/ 6/4"</t>
  </si>
  <si>
    <t>Brzospajajuća utisna spojnica - kapa DN 32</t>
  </si>
  <si>
    <t>Brzospajajuća utisna spojnica - kapa DN 25</t>
  </si>
  <si>
    <t>Brzospajajuća utisna spojnica - kapa DN 20</t>
  </si>
  <si>
    <t>5.10.</t>
  </si>
  <si>
    <t>5.10.1</t>
  </si>
  <si>
    <t>5.10.2</t>
  </si>
  <si>
    <t>5.10.3</t>
  </si>
  <si>
    <t>5.10.3.1</t>
  </si>
  <si>
    <t>5.10.3.2</t>
  </si>
  <si>
    <t>5.10.4</t>
  </si>
  <si>
    <t>5.10.4.1</t>
  </si>
  <si>
    <t>5.10.4.2</t>
  </si>
  <si>
    <t>5.10.5</t>
  </si>
  <si>
    <t>5.10.6</t>
  </si>
  <si>
    <t>5.10.6.1</t>
  </si>
  <si>
    <t>5.10.6.2</t>
  </si>
  <si>
    <t>5.10.6.3</t>
  </si>
  <si>
    <t>5.10.6.4</t>
  </si>
  <si>
    <t>5.10.6.5</t>
  </si>
  <si>
    <t>5.10.7</t>
  </si>
  <si>
    <t>5.10.8</t>
  </si>
  <si>
    <t>5.10.8.1</t>
  </si>
  <si>
    <t>5.10.8.2</t>
  </si>
  <si>
    <t>5.10.9</t>
  </si>
  <si>
    <t>5.10.10</t>
  </si>
  <si>
    <t>5.10.10.1</t>
  </si>
  <si>
    <t>5.10.10.2</t>
  </si>
  <si>
    <t>5.10.10.3</t>
  </si>
  <si>
    <t>5.10.10.4</t>
  </si>
  <si>
    <t>5.10.11</t>
  </si>
  <si>
    <t>5.10.12</t>
  </si>
  <si>
    <t>5.10.13</t>
  </si>
  <si>
    <t>5.9.1</t>
  </si>
  <si>
    <t>5.9.2</t>
  </si>
  <si>
    <t>5.9.3</t>
  </si>
  <si>
    <t>5.9.4</t>
  </si>
  <si>
    <t>5.9.5</t>
  </si>
  <si>
    <t>5.9.6</t>
  </si>
  <si>
    <t>5.9.7</t>
  </si>
  <si>
    <t>5.9.8</t>
  </si>
  <si>
    <t>5.9.9</t>
  </si>
  <si>
    <t>5.9.10</t>
  </si>
  <si>
    <t>5.9.11</t>
  </si>
  <si>
    <t>5.9.12</t>
  </si>
  <si>
    <t>5.9.13</t>
  </si>
  <si>
    <t>5.9.14</t>
  </si>
  <si>
    <t>5.9.15</t>
  </si>
  <si>
    <t>5.9.16</t>
  </si>
  <si>
    <t>5.9.17</t>
  </si>
  <si>
    <t>5.9.18</t>
  </si>
  <si>
    <t>5.9.19</t>
  </si>
  <si>
    <t>5.9.20</t>
  </si>
  <si>
    <t>5.9.21</t>
  </si>
  <si>
    <t>5.9.22</t>
  </si>
  <si>
    <t>5.9.23</t>
  </si>
  <si>
    <t>5.9.24</t>
  </si>
  <si>
    <t>5.9.25</t>
  </si>
  <si>
    <t>5.9.26</t>
  </si>
  <si>
    <t>5.9.27</t>
  </si>
  <si>
    <t>5.9.28</t>
  </si>
  <si>
    <t>5.9.29</t>
  </si>
  <si>
    <t>5.9.30</t>
  </si>
  <si>
    <t>5.9.31</t>
  </si>
  <si>
    <t>5.9.32</t>
  </si>
  <si>
    <t>5.9.33</t>
  </si>
  <si>
    <t>5.9.34</t>
  </si>
  <si>
    <t>5.9.35</t>
  </si>
  <si>
    <t>5.9.36</t>
  </si>
  <si>
    <t>5.9.37</t>
  </si>
  <si>
    <t>5.9.38</t>
  </si>
  <si>
    <t>5.9.39</t>
  </si>
  <si>
    <t>5.9.40</t>
  </si>
  <si>
    <t>5.9.41</t>
  </si>
  <si>
    <t>5.9.42</t>
  </si>
  <si>
    <t>5.9.43</t>
  </si>
  <si>
    <t>5.9.44</t>
  </si>
  <si>
    <t>5.9.45</t>
  </si>
  <si>
    <t>5.9.46</t>
  </si>
  <si>
    <t>5.9.47</t>
  </si>
  <si>
    <t>5.9.48</t>
  </si>
  <si>
    <t>5.9.49</t>
  </si>
  <si>
    <t>5.9.50</t>
  </si>
  <si>
    <t>5.9.51</t>
  </si>
  <si>
    <t>2.8.29.</t>
  </si>
  <si>
    <t>5.6.4.</t>
  </si>
  <si>
    <t>Ogrlica/ obujmica za kućni priključak sa ventilom, teleskopom i uličnom kapom</t>
  </si>
  <si>
    <t xml:space="preserve">Kosovec
dionica D12.1
</t>
  </si>
  <si>
    <t xml:space="preserve">Potočka - Potočec
dionica D12
</t>
  </si>
  <si>
    <t>FF komad DN80  50mm</t>
  </si>
  <si>
    <t>SANACIJA
CIJELINA 1B
PODRUČJE GRADA KRIŽEVACA
 234 m</t>
  </si>
  <si>
    <t>Strojno pobijanje čel .talpi  m za zaštitu građ. jame</t>
  </si>
  <si>
    <t>CJELINA 1, 
 2479 m</t>
  </si>
  <si>
    <t>CJELINA 4, 
 672 m</t>
  </si>
  <si>
    <t>CJELINA 9
  681 m</t>
  </si>
  <si>
    <t>I ODVOJAK
 22,35 m</t>
  </si>
  <si>
    <t>II ODVOJAK
 69 m</t>
  </si>
  <si>
    <t>III ODVOJAK
 905 m</t>
  </si>
  <si>
    <t>Pristupni put od makadama i propust prosj. š=2.5m i  m</t>
  </si>
  <si>
    <t>Pristupni put od betona i propust prosj. š=2.5m i  m</t>
  </si>
  <si>
    <t>Pristupni put od asfalta i propust prosj. š=2.5m i  m</t>
  </si>
  <si>
    <t>Pristupni put od zemlje i propust prosj. š=2.5m i  m</t>
  </si>
  <si>
    <t>Pristupni put od makadama š=1m i  m</t>
  </si>
  <si>
    <t>Pristupni put od betona š=1m i  m</t>
  </si>
  <si>
    <t>Pristupni put od asfalta š=1m i  m</t>
  </si>
  <si>
    <t>Pristupni put od zemlje š=1m i  m</t>
  </si>
  <si>
    <t>Pristupni put od betona š=2.5m i  m</t>
  </si>
  <si>
    <t>Pristupni put od asfalta š=2.5m i  m</t>
  </si>
  <si>
    <t>Pristupni put od zemlje š=2.5m i  m</t>
  </si>
  <si>
    <t>Ugradba zaštitne PEHD DN 225,  450 mm cijevi za prolaz produktovodne vodovodne cijevi</t>
  </si>
  <si>
    <t>FF komad DN 100,  00 mm</t>
  </si>
  <si>
    <t>FF komad DN 100,  000 mm</t>
  </si>
  <si>
    <t>FFM komad s zavarenom prirubnicom DN 100,  00 mm</t>
  </si>
  <si>
    <t>FFM komad s zavarenom prirubnicom DN 100,  000 mm</t>
  </si>
  <si>
    <t>FFM komad s zavarenom prirubnicom DN 150,  00 mm</t>
  </si>
  <si>
    <t>FFM komad s zavarenom prirubnicom DN 150,  100 mm</t>
  </si>
  <si>
    <t>FFM komad s zavarenom prirubnicom DN 200,  00 mm</t>
  </si>
  <si>
    <t>FFM komad s zavarenom prirubnicom DN 200,  000 mm</t>
  </si>
  <si>
    <t>FFM komad s zavarenom prirubnicom DN 300,  00 mm</t>
  </si>
  <si>
    <t>FFM komad s zavarenom prirubnicom DN 300,  000 mm</t>
  </si>
  <si>
    <t xml:space="preserve">FF komad DN 100 ,  100 mm   </t>
  </si>
  <si>
    <t>FF komad DN 100 ,  200 mm</t>
  </si>
  <si>
    <t>FF komad DN 100 ,  300 mm</t>
  </si>
  <si>
    <t>FF komad DN 100 ,  500 mm</t>
  </si>
  <si>
    <t>FF komad DN 100 ,  600 mm</t>
  </si>
  <si>
    <t>FF komad DN 100 ,  800 mm</t>
  </si>
  <si>
    <t>FF komad DN 100 ,  900 mm</t>
  </si>
  <si>
    <t>FF komad DN 100 ,  1000 mm</t>
  </si>
  <si>
    <t>FF komad DN 100 ,  1200 mm</t>
  </si>
  <si>
    <t>PEHD cijev DN 110 mm; PN 10 bara; s = 6,6 mm; SRD 17,  1000 mm</t>
  </si>
  <si>
    <t>PEHD cijev DN 80  000m</t>
  </si>
  <si>
    <t>Tomislavova
dionica D1 dio
 441.06 m</t>
  </si>
  <si>
    <t>Bjelovarska  - Donji Cubinec
dionica D1 dio
 96.72 m</t>
  </si>
  <si>
    <t>Cubinec
dionica D1.1 
 382.70 m</t>
  </si>
  <si>
    <t xml:space="preserve">Tomislavova - željeznička stanica 
dionica D1.2 dio
 45 m
</t>
  </si>
  <si>
    <t>Sv Florijan - Zagrebačka
dionica D3 
 18.42</t>
  </si>
  <si>
    <t xml:space="preserve">F. Gundruma
dionica D3.3
 19.64 m
</t>
  </si>
  <si>
    <t>F. Galovića
dionica D3.5
 96.92</t>
  </si>
  <si>
    <t>F. Gundruma
dionica D3.5.1
 8.21 m</t>
  </si>
  <si>
    <t>Crni put
dionica D3.6
 86.92</t>
  </si>
  <si>
    <t xml:space="preserve">Bana Jelačića
dionica D4.2
 68.66 m
</t>
  </si>
  <si>
    <t xml:space="preserve">Branitelja Hrvatske - Supilova
dionica D7
 126.06 m
</t>
  </si>
  <si>
    <t xml:space="preserve">K. Heruca
dionica D8
 60.07 m
</t>
  </si>
  <si>
    <t>J. Buturca
dionica D8.1
 28.32 m</t>
  </si>
  <si>
    <t>A. Mihanovića
dionica D8.2 dio
 2.63 m</t>
  </si>
  <si>
    <t>Brckovčina
dionica D9
 989.92</t>
  </si>
  <si>
    <t>Glogovničke bune
dionica D9.2
 81.12 m</t>
  </si>
  <si>
    <t xml:space="preserve">Prigorska
dionica D10, dio
 89.23
</t>
  </si>
  <si>
    <t>Zagorska, Pušća
dionica D10.1
 108.99 m</t>
  </si>
  <si>
    <t xml:space="preserve">Markovićeva
dionica D11
 43.89 m
</t>
  </si>
  <si>
    <t>Mladine
dionica D11.1
 127.03</t>
  </si>
  <si>
    <t>Potočka - Potočec
dionica D12
 937.02</t>
  </si>
  <si>
    <t>Kosovec
dionica D12.1
 43.15 m</t>
  </si>
  <si>
    <t>Izrada i montaža kućnih priključaka  0.00 m</t>
  </si>
  <si>
    <t>Izrada i montaža kućnih priključaka prekopom prometnice  5.00 m</t>
  </si>
  <si>
    <t>Izrada i montaža kućnih priključaka uz hidrauličko bušenje prometnice  5.00 m</t>
  </si>
  <si>
    <t xml:space="preserve">J. Buturca
dionica D8.1
 </t>
  </si>
  <si>
    <t xml:space="preserve">A. Mihanovića
dionica D8.2 dio
 </t>
  </si>
  <si>
    <t xml:space="preserve">Brckovčina
dionica D9
 </t>
  </si>
  <si>
    <t xml:space="preserve">Glogovničke bune
dionica D9.2
 </t>
  </si>
  <si>
    <t xml:space="preserve">Prigorska
dionica D10, dio
</t>
  </si>
  <si>
    <t xml:space="preserve">Markovićeva
dionica D11
</t>
  </si>
  <si>
    <t xml:space="preserve">Mladine
dionica D11.1
 </t>
  </si>
  <si>
    <t xml:space="preserve">    DN 100,  190 mm</t>
  </si>
  <si>
    <t xml:space="preserve">    DN 200/DN 100,  200 mm  </t>
  </si>
  <si>
    <t xml:space="preserve">    DN 300/DN 100,  205 mm  </t>
  </si>
  <si>
    <t xml:space="preserve">    DN 110/DN 100,  125 mm  </t>
  </si>
  <si>
    <t xml:space="preserve">    DN 110/DN 100,  175 mm  </t>
  </si>
  <si>
    <t xml:space="preserve">    DN 160/DN 100,  175 mm  </t>
  </si>
  <si>
    <t xml:space="preserve">    DN 100 ,  100 mm</t>
  </si>
  <si>
    <t xml:space="preserve">    DN 100 ,  200 mm</t>
  </si>
  <si>
    <t xml:space="preserve">    DN 100 ,  300 mm</t>
  </si>
  <si>
    <t xml:space="preserve">    DN 100 ,  400 mm</t>
  </si>
  <si>
    <t xml:space="preserve">    DN 100 ,  500 mm</t>
  </si>
  <si>
    <t xml:space="preserve">    DN 100 ,  700 mm</t>
  </si>
  <si>
    <t xml:space="preserve">    DN 100 ,  800 mm</t>
  </si>
  <si>
    <t>DN 110 mm; PN 16 bara; s = 10,0 mm; SRD 11,  1000 mm</t>
  </si>
  <si>
    <t xml:space="preserve">DN 200/DN 80,  200 mm  </t>
  </si>
  <si>
    <t xml:space="preserve">DN 300/DN 80,  200 mm  </t>
  </si>
  <si>
    <t xml:space="preserve">DN 160/DN 80,  105 mm </t>
  </si>
  <si>
    <t xml:space="preserve">DN 110/DN 80,  105 mm </t>
  </si>
  <si>
    <t>Zasun DN 200,  0</t>
  </si>
  <si>
    <t>Prirubnički komad sa naglavkom, DN 250,  55</t>
  </si>
  <si>
    <t>Prirubnički komad sa naglavkom, DN 100,  5</t>
  </si>
  <si>
    <t>2.11.2.1.B)</t>
  </si>
  <si>
    <t>2.11.2.1.C)</t>
  </si>
  <si>
    <t>7.1.1</t>
  </si>
  <si>
    <t>7.1.7</t>
  </si>
  <si>
    <t>7.1.7.1</t>
  </si>
  <si>
    <t>7.1.7.2</t>
  </si>
  <si>
    <t>7.1.7.3</t>
  </si>
  <si>
    <t>7.1.7.4</t>
  </si>
  <si>
    <t>7.1.8</t>
  </si>
  <si>
    <t>7.1.9</t>
  </si>
  <si>
    <t>7.1.10</t>
  </si>
  <si>
    <t>7.1.8.1</t>
  </si>
  <si>
    <t>7.1.8.2</t>
  </si>
  <si>
    <t>Izrada posteljice ispod CS - tampon</t>
  </si>
  <si>
    <t>Armatura (šipke i mreže)</t>
  </si>
  <si>
    <t xml:space="preserve">2.10/2.11.1.18 </t>
  </si>
  <si>
    <t>2.11.1.1.</t>
  </si>
  <si>
    <t>2.11.1.2.</t>
  </si>
  <si>
    <t>2.11.1.3.</t>
  </si>
  <si>
    <t>2.1.4..</t>
  </si>
  <si>
    <t>Nabava, doprema i ugradba (učvršćenje i betoniranje okvira betonom C 15/20)  kompozitnih poklopaca izrađenim prema normi HRN EN 124-5 ili jednakovrijedno, s antikorozivnom zaštitom, na ab ploču CS veličine koju zahtijeva otvor, mogućnost zaključavanja, klase minimalno C250, s hidrauličkim podizačima. Obračun po komadu ugrađenog poklopca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</si>
</sst>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 #,##0.00_-;_-* \-??_-;_-@_-"/>
    <numFmt numFmtId="165" formatCode="0.00;[Red]0.00"/>
  </numFmts>
  <fonts count="84">
    <font>
      <sz val="11"/>
      <name val="Times New Roman CE"/>
      <charset val="238"/>
    </font>
    <font>
      <sz val="11"/>
      <color theme="1"/>
      <name val="Calibri"/>
      <family val="2"/>
      <charset val="238"/>
      <scheme val="minor"/>
    </font>
    <font>
      <sz val="10"/>
      <name val="Arial"/>
      <family val="2"/>
    </font>
    <font>
      <sz val="11"/>
      <name val="Times New Roman CE"/>
      <charset val="238"/>
    </font>
    <font>
      <sz val="8"/>
      <name val="Times New Roman CE"/>
      <charset val="238"/>
    </font>
    <font>
      <b/>
      <sz val="11"/>
      <color indexed="8"/>
      <name val="Times New Roman CE"/>
      <charset val="238"/>
    </font>
    <font>
      <sz val="11"/>
      <color indexed="8"/>
      <name val="Times New Roman CE"/>
      <charset val="238"/>
    </font>
    <font>
      <sz val="11"/>
      <color indexed="8"/>
      <name val="Times New Roman CE"/>
      <family val="1"/>
      <charset val="238"/>
    </font>
    <font>
      <sz val="11"/>
      <color indexed="8"/>
      <name val="Times New Roman"/>
      <family val="1"/>
      <charset val="238"/>
    </font>
    <font>
      <b/>
      <sz val="12"/>
      <color indexed="8"/>
      <name val="Times New Roman CE"/>
      <family val="1"/>
      <charset val="238"/>
    </font>
    <font>
      <sz val="12"/>
      <color indexed="8"/>
      <name val="Times New Roman CE"/>
      <family val="1"/>
      <charset val="238"/>
    </font>
    <font>
      <b/>
      <sz val="11"/>
      <color indexed="8"/>
      <name val="Times New Roman"/>
      <family val="1"/>
      <charset val="238"/>
    </font>
    <font>
      <b/>
      <sz val="11"/>
      <color indexed="8"/>
      <name val="Times New Roman CE"/>
      <family val="1"/>
      <charset val="238"/>
    </font>
    <font>
      <b/>
      <sz val="12"/>
      <color indexed="8"/>
      <name val="Times New Roman CE"/>
      <charset val="238"/>
    </font>
    <font>
      <sz val="12"/>
      <color indexed="8"/>
      <name val="Times New Roman CE"/>
      <charset val="238"/>
    </font>
    <font>
      <b/>
      <sz val="14"/>
      <color indexed="8"/>
      <name val="Times New Roman CE"/>
      <family val="1"/>
      <charset val="238"/>
    </font>
    <font>
      <vertAlign val="superscript"/>
      <sz val="11"/>
      <color indexed="8"/>
      <name val="Times New Roman CE"/>
      <family val="1"/>
      <charset val="238"/>
    </font>
    <font>
      <vertAlign val="superscript"/>
      <sz val="11"/>
      <color indexed="8"/>
      <name val="Times New Roman CE"/>
      <charset val="238"/>
    </font>
    <font>
      <vertAlign val="superscript"/>
      <sz val="11"/>
      <color indexed="8"/>
      <name val="Times New Roman"/>
      <family val="1"/>
      <charset val="238"/>
    </font>
    <font>
      <i/>
      <sz val="11"/>
      <color indexed="8"/>
      <name val="Times New Roman CE"/>
      <charset val="238"/>
    </font>
    <font>
      <sz val="11"/>
      <color indexed="8"/>
      <name val="Symbol"/>
      <family val="1"/>
      <charset val="2"/>
    </font>
    <font>
      <b/>
      <sz val="11"/>
      <color indexed="8"/>
      <name val="Symbol"/>
      <family val="1"/>
      <charset val="2"/>
    </font>
    <font>
      <b/>
      <sz val="11"/>
      <color indexed="8"/>
      <name val="Arial"/>
      <family val="2"/>
      <charset val="238"/>
    </font>
    <font>
      <sz val="11"/>
      <color indexed="8"/>
      <name val="Times New Roman"/>
      <family val="1"/>
    </font>
    <font>
      <i/>
      <sz val="11"/>
      <color indexed="8"/>
      <name val="Times New Roman"/>
      <family val="1"/>
      <charset val="238"/>
    </font>
    <font>
      <sz val="7"/>
      <color indexed="8"/>
      <name val="Times New Roman CE"/>
      <family val="1"/>
      <charset val="238"/>
    </font>
    <font>
      <b/>
      <sz val="8.25"/>
      <color indexed="8"/>
      <name val="Times New Roman CE"/>
      <family val="1"/>
      <charset val="238"/>
    </font>
    <font>
      <sz val="11"/>
      <color indexed="10"/>
      <name val="Times New Roman CE"/>
      <family val="1"/>
      <charset val="238"/>
    </font>
    <font>
      <sz val="11"/>
      <name val="Times New Roman CE"/>
      <family val="1"/>
      <charset val="238"/>
    </font>
    <font>
      <sz val="11"/>
      <color indexed="8"/>
      <name val="Tahoma"/>
      <family val="2"/>
      <charset val="238"/>
    </font>
    <font>
      <b/>
      <sz val="11"/>
      <color indexed="8"/>
      <name val="Tahoma"/>
      <family val="2"/>
      <charset val="238"/>
    </font>
    <font>
      <sz val="11"/>
      <name val="Tahoma"/>
      <family val="2"/>
      <charset val="238"/>
    </font>
    <font>
      <b/>
      <sz val="11"/>
      <name val="Tahoma"/>
      <family val="2"/>
      <charset val="238"/>
    </font>
    <font>
      <sz val="11"/>
      <name val="Arial"/>
      <family val="2"/>
      <charset val="238"/>
    </font>
    <font>
      <sz val="10"/>
      <name val="Arial"/>
      <family val="2"/>
      <charset val="238"/>
    </font>
    <font>
      <vertAlign val="superscript"/>
      <sz val="11"/>
      <name val="Tahoma"/>
      <family val="2"/>
      <charset val="238"/>
    </font>
    <font>
      <b/>
      <sz val="12"/>
      <name val="Tahoma"/>
      <family val="2"/>
      <charset val="238"/>
    </font>
    <font>
      <sz val="11"/>
      <color theme="1"/>
      <name val="Calibri"/>
      <family val="2"/>
      <charset val="238"/>
      <scheme val="minor"/>
    </font>
    <font>
      <sz val="11"/>
      <color theme="0"/>
      <name val="Calibri"/>
      <family val="2"/>
      <charset val="238"/>
      <scheme val="minor"/>
    </font>
    <font>
      <sz val="11"/>
      <color rgb="FF9C0006"/>
      <name val="Calibri"/>
      <family val="2"/>
      <charset val="238"/>
      <scheme val="minor"/>
    </font>
    <font>
      <sz val="11"/>
      <color theme="1"/>
      <name val="Times New Roman CE"/>
      <charset val="238"/>
    </font>
    <font>
      <sz val="11"/>
      <color theme="1"/>
      <name val="Times New Roman"/>
      <family val="1"/>
      <charset val="238"/>
    </font>
    <font>
      <b/>
      <sz val="11"/>
      <color theme="1"/>
      <name val="Times New Roman CE"/>
      <charset val="238"/>
    </font>
    <font>
      <sz val="11"/>
      <color theme="1"/>
      <name val="Times New Roman CE"/>
      <family val="1"/>
      <charset val="238"/>
    </font>
    <font>
      <b/>
      <sz val="11"/>
      <color theme="1"/>
      <name val="Times New Roman CE"/>
      <family val="1"/>
      <charset val="238"/>
    </font>
    <font>
      <b/>
      <sz val="12"/>
      <color theme="1"/>
      <name val="Times New Roman CE"/>
      <family val="1"/>
      <charset val="238"/>
    </font>
    <font>
      <sz val="12"/>
      <color theme="1"/>
      <name val="Times New Roman CE"/>
      <family val="1"/>
      <charset val="238"/>
    </font>
    <font>
      <b/>
      <sz val="11"/>
      <color theme="1"/>
      <name val="Times New Roman"/>
      <family val="1"/>
      <charset val="238"/>
    </font>
    <font>
      <sz val="7"/>
      <color theme="1"/>
      <name val="Times New Roman CE"/>
      <family val="1"/>
      <charset val="238"/>
    </font>
    <font>
      <b/>
      <sz val="11"/>
      <color theme="1"/>
      <name val="Symbol"/>
      <family val="1"/>
      <charset val="2"/>
    </font>
    <font>
      <sz val="11"/>
      <color theme="1"/>
      <name val="Arial"/>
      <family val="2"/>
      <charset val="238"/>
    </font>
    <font>
      <sz val="12"/>
      <color theme="1"/>
      <name val="Arial"/>
      <family val="2"/>
      <charset val="238"/>
    </font>
    <font>
      <b/>
      <sz val="11"/>
      <color theme="1"/>
      <name val="Arial"/>
      <family val="2"/>
      <charset val="238"/>
    </font>
    <font>
      <b/>
      <sz val="12"/>
      <color theme="1"/>
      <name val="Times New Roman CE"/>
      <charset val="238"/>
    </font>
    <font>
      <sz val="12"/>
      <color theme="1"/>
      <name val="Times New Roman CE"/>
      <charset val="238"/>
    </font>
    <font>
      <b/>
      <sz val="14"/>
      <color theme="1"/>
      <name val="Times New Roman CE"/>
      <family val="1"/>
      <charset val="238"/>
    </font>
    <font>
      <b/>
      <sz val="11"/>
      <color theme="0"/>
      <name val="Tahoma"/>
      <family val="2"/>
      <charset val="238"/>
    </font>
    <font>
      <sz val="11"/>
      <color rgb="FFFF0000"/>
      <name val="Tahoma"/>
      <family val="2"/>
      <charset val="238"/>
    </font>
    <font>
      <sz val="11"/>
      <color theme="1"/>
      <name val="Tahoma"/>
      <family val="2"/>
      <charset val="238"/>
    </font>
    <font>
      <b/>
      <sz val="10"/>
      <color theme="0"/>
      <name val="Tahoma"/>
      <family val="2"/>
      <charset val="238"/>
    </font>
    <font>
      <sz val="11"/>
      <color theme="0"/>
      <name val="Tahoma"/>
      <family val="2"/>
      <charset val="238"/>
    </font>
    <font>
      <b/>
      <sz val="11"/>
      <color rgb="FFFF0000"/>
      <name val="Tahoma"/>
      <family val="2"/>
      <charset val="238"/>
    </font>
    <font>
      <sz val="11"/>
      <name val="Tahoma"/>
      <family val="2"/>
    </font>
    <font>
      <sz val="9"/>
      <color indexed="81"/>
      <name val="Tahoma"/>
      <family val="2"/>
      <charset val="238"/>
    </font>
    <font>
      <b/>
      <sz val="9"/>
      <color indexed="81"/>
      <name val="Tahoma"/>
      <family val="2"/>
      <charset val="238"/>
    </font>
    <font>
      <sz val="11"/>
      <color indexed="8"/>
      <name val="Tahoma"/>
      <family val="2"/>
    </font>
    <font>
      <sz val="11"/>
      <color rgb="FFFF0000"/>
      <name val="Tahoma"/>
      <family val="2"/>
    </font>
    <font>
      <sz val="11"/>
      <color rgb="FF0070C0"/>
      <name val="Tahoma"/>
      <family val="2"/>
    </font>
    <font>
      <b/>
      <sz val="10"/>
      <name val="Tahoma"/>
      <family val="2"/>
      <charset val="238"/>
    </font>
    <font>
      <b/>
      <sz val="11"/>
      <color indexed="8"/>
      <name val="Tahoma"/>
      <family val="2"/>
    </font>
    <font>
      <b/>
      <sz val="11"/>
      <name val="Tahoma"/>
      <family val="2"/>
    </font>
    <font>
      <b/>
      <sz val="11"/>
      <color theme="0"/>
      <name val="Tahoma"/>
      <family val="2"/>
    </font>
    <font>
      <vertAlign val="superscript"/>
      <sz val="11"/>
      <name val="Tahoma"/>
      <family val="2"/>
    </font>
    <font>
      <u/>
      <sz val="11"/>
      <name val="Tahoma"/>
      <family val="2"/>
    </font>
    <font>
      <sz val="11"/>
      <name val="Symbol"/>
      <family val="1"/>
      <charset val="2"/>
    </font>
    <font>
      <b/>
      <sz val="11"/>
      <color theme="1"/>
      <name val="Tahoma"/>
      <family val="2"/>
    </font>
    <font>
      <sz val="9"/>
      <color indexed="81"/>
      <name val="Tahoma"/>
      <charset val="1"/>
    </font>
    <font>
      <b/>
      <sz val="9"/>
      <color indexed="81"/>
      <name val="Tahoma"/>
      <charset val="1"/>
    </font>
    <font>
      <b/>
      <sz val="11"/>
      <color theme="1"/>
      <name val="Tahoma"/>
      <family val="2"/>
      <charset val="238"/>
    </font>
    <font>
      <b/>
      <sz val="9"/>
      <name val="Tahoma"/>
      <family val="2"/>
      <charset val="238"/>
    </font>
    <font>
      <sz val="11"/>
      <color theme="4"/>
      <name val="Tahoma"/>
      <family val="2"/>
      <charset val="238"/>
    </font>
    <font>
      <sz val="11"/>
      <name val="GreekC"/>
      <charset val="238"/>
    </font>
    <font>
      <sz val="11"/>
      <name val="GreekS"/>
      <charset val="238"/>
    </font>
    <font>
      <sz val="11"/>
      <name val="Tahoma"/>
      <family val="1"/>
      <charset val="2"/>
    </font>
  </fonts>
  <fills count="26">
    <fill>
      <patternFill patternType="none"/>
    </fill>
    <fill>
      <patternFill patternType="gray125"/>
    </fill>
    <fill>
      <patternFill patternType="solid">
        <fgColor theme="4"/>
      </patternFill>
    </fill>
    <fill>
      <patternFill patternType="solid">
        <fgColor theme="8"/>
      </patternFill>
    </fill>
    <fill>
      <patternFill patternType="solid">
        <fgColor rgb="FFFFC7CE"/>
      </patternFill>
    </fill>
    <fill>
      <patternFill patternType="solid">
        <fgColor rgb="FFFFC000"/>
        <bgColor indexed="64"/>
      </patternFill>
    </fill>
    <fill>
      <patternFill patternType="solid">
        <fgColor theme="8" tint="-0.49998474074526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7" tint="-0.249977111117893"/>
        <bgColor indexed="64"/>
      </patternFill>
    </fill>
    <fill>
      <patternFill patternType="solid">
        <fgColor theme="1" tint="0.499984740745262"/>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8" tint="-0.249977111117893"/>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6" tint="-0.249977111117893"/>
        <bgColor indexed="64"/>
      </patternFill>
    </fill>
    <fill>
      <patternFill patternType="solid">
        <fgColor theme="6" tint="0.59999389629810485"/>
        <bgColor indexed="64"/>
      </patternFill>
    </fill>
  </fills>
  <borders count="28">
    <border>
      <left/>
      <right/>
      <top/>
      <bottom/>
      <diagonal/>
    </border>
    <border>
      <left/>
      <right/>
      <top/>
      <bottom style="thin">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1">
    <xf numFmtId="0" fontId="0" fillId="0" borderId="0">
      <alignment wrapText="1"/>
    </xf>
    <xf numFmtId="0" fontId="38" fillId="2" borderId="0" applyNumberFormat="0" applyBorder="0" applyAlignment="0" applyProtection="0"/>
    <xf numFmtId="0" fontId="38" fillId="3" borderId="0" applyNumberFormat="0" applyBorder="0" applyAlignment="0" applyProtection="0"/>
    <xf numFmtId="0" fontId="39" fillId="4" borderId="0" applyNumberFormat="0" applyBorder="0" applyAlignment="0" applyProtection="0"/>
    <xf numFmtId="164" fontId="3" fillId="0" borderId="0" applyFill="0" applyBorder="0" applyProtection="0">
      <alignment wrapText="1"/>
    </xf>
    <xf numFmtId="0" fontId="3" fillId="0" borderId="0" applyFont="0" applyFill="0" applyBorder="0" applyAlignment="0" applyProtection="0"/>
    <xf numFmtId="43" fontId="3" fillId="0" borderId="0" applyFont="0" applyFill="0" applyBorder="0" applyAlignment="0" applyProtection="0"/>
    <xf numFmtId="2" fontId="3" fillId="0" borderId="0">
      <alignment wrapText="1"/>
    </xf>
    <xf numFmtId="0" fontId="34" fillId="0" borderId="0"/>
    <xf numFmtId="0" fontId="37" fillId="0" borderId="0"/>
    <xf numFmtId="0" fontId="3" fillId="0" borderId="0">
      <alignment wrapText="1"/>
    </xf>
    <xf numFmtId="0" fontId="3" fillId="0" borderId="0"/>
    <xf numFmtId="0" fontId="3" fillId="0" borderId="0"/>
    <xf numFmtId="0" fontId="2" fillId="0" borderId="0"/>
    <xf numFmtId="0" fontId="33" fillId="0" borderId="0">
      <alignment wrapText="1"/>
    </xf>
    <xf numFmtId="0" fontId="33" fillId="0" borderId="0">
      <alignment wrapText="1"/>
    </xf>
    <xf numFmtId="0" fontId="3" fillId="0" borderId="0">
      <alignment wrapText="1"/>
    </xf>
    <xf numFmtId="0" fontId="1" fillId="0" borderId="0"/>
    <xf numFmtId="0" fontId="1" fillId="0" borderId="0"/>
    <xf numFmtId="0" fontId="1" fillId="0" borderId="0"/>
    <xf numFmtId="0" fontId="34" fillId="0" borderId="0" applyFont="0" applyFill="0" applyBorder="0" applyAlignment="0" applyProtection="0"/>
  </cellStyleXfs>
  <cellXfs count="1482">
    <xf numFmtId="0" fontId="0" fillId="0" borderId="0" xfId="0">
      <alignment wrapText="1"/>
    </xf>
    <xf numFmtId="0" fontId="5" fillId="0" borderId="0" xfId="0" applyFont="1" applyFill="1" applyAlignment="1">
      <alignment vertical="top"/>
    </xf>
    <xf numFmtId="0" fontId="6" fillId="0" borderId="0" xfId="0" applyFont="1" applyFill="1" applyAlignment="1">
      <alignment horizontal="left"/>
    </xf>
    <xf numFmtId="0" fontId="6" fillId="0" borderId="0" xfId="0" applyFont="1" applyFill="1" applyAlignment="1">
      <alignment horizontal="right"/>
    </xf>
    <xf numFmtId="0" fontId="7" fillId="0" borderId="0" xfId="0" applyFont="1" applyFill="1">
      <alignment wrapText="1"/>
    </xf>
    <xf numFmtId="2" fontId="6" fillId="0" borderId="0" xfId="0" applyNumberFormat="1" applyFont="1" applyFill="1" applyAlignment="1">
      <alignment horizontal="justify" vertical="top"/>
    </xf>
    <xf numFmtId="4" fontId="6" fillId="0" borderId="0" xfId="4" applyNumberFormat="1" applyFont="1" applyFill="1" applyBorder="1" applyAlignment="1" applyProtection="1">
      <alignment horizontal="right"/>
    </xf>
    <xf numFmtId="0" fontId="7" fillId="0" borderId="0" xfId="0" applyFont="1" applyFill="1" applyAlignment="1">
      <alignment vertical="top" wrapText="1"/>
    </xf>
    <xf numFmtId="0" fontId="7" fillId="0" borderId="0" xfId="0" applyFont="1" applyFill="1" applyAlignment="1">
      <alignment horizontal="justify" vertical="top"/>
    </xf>
    <xf numFmtId="0" fontId="9" fillId="0" borderId="0" xfId="0" applyFont="1" applyFill="1" applyAlignment="1">
      <alignment horizontal="right" vertical="top"/>
    </xf>
    <xf numFmtId="0" fontId="7" fillId="0" borderId="0" xfId="0" applyFont="1" applyFill="1" applyAlignment="1">
      <alignment horizontal="left"/>
    </xf>
    <xf numFmtId="0" fontId="10" fillId="0" borderId="0" xfId="0" applyFont="1" applyFill="1" applyAlignment="1">
      <alignment horizontal="left"/>
    </xf>
    <xf numFmtId="2" fontId="10" fillId="0" borderId="0" xfId="4" applyNumberFormat="1" applyFont="1" applyFill="1" applyBorder="1" applyAlignment="1" applyProtection="1">
      <alignment horizontal="right"/>
      <protection locked="0"/>
    </xf>
    <xf numFmtId="0" fontId="10" fillId="0" borderId="0" xfId="0" applyFont="1" applyFill="1" applyAlignment="1">
      <alignment horizontal="right"/>
    </xf>
    <xf numFmtId="2" fontId="10" fillId="0" borderId="0" xfId="4" applyNumberFormat="1" applyFont="1" applyFill="1" applyBorder="1" applyAlignment="1" applyProtection="1">
      <alignment horizontal="right"/>
    </xf>
    <xf numFmtId="0" fontId="10" fillId="0" borderId="0" xfId="0" applyFont="1" applyFill="1" applyAlignment="1">
      <alignment vertical="top" wrapText="1"/>
    </xf>
    <xf numFmtId="0" fontId="6" fillId="0" borderId="0" xfId="0" applyFont="1" applyFill="1" applyAlignment="1">
      <alignment horizontal="justify" vertical="top"/>
    </xf>
    <xf numFmtId="0" fontId="7" fillId="0" borderId="0" xfId="0" applyFont="1" applyFill="1" applyAlignment="1">
      <alignment horizontal="right" vertical="top"/>
    </xf>
    <xf numFmtId="0" fontId="7" fillId="0" borderId="0" xfId="0" applyFont="1" applyFill="1" applyAlignment="1">
      <alignment horizontal="left" vertical="top"/>
    </xf>
    <xf numFmtId="2" fontId="7" fillId="0" borderId="0" xfId="4" applyNumberFormat="1" applyFont="1" applyFill="1" applyBorder="1" applyAlignment="1" applyProtection="1">
      <alignment horizontal="right" vertical="top"/>
      <protection locked="0"/>
    </xf>
    <xf numFmtId="2" fontId="7" fillId="0" borderId="0" xfId="4" applyNumberFormat="1" applyFont="1" applyFill="1" applyBorder="1" applyAlignment="1" applyProtection="1">
      <alignment horizontal="right" vertical="top"/>
    </xf>
    <xf numFmtId="49" fontId="7" fillId="0" borderId="0" xfId="0" applyNumberFormat="1" applyFont="1" applyFill="1" applyAlignment="1">
      <alignment horizontal="center"/>
    </xf>
    <xf numFmtId="164" fontId="7" fillId="0" borderId="0" xfId="4" applyFont="1" applyFill="1" applyBorder="1" applyAlignment="1" applyProtection="1">
      <alignment horizontal="right"/>
      <protection locked="0"/>
    </xf>
    <xf numFmtId="0" fontId="7" fillId="0" borderId="0" xfId="0" applyFont="1" applyFill="1" applyAlignment="1">
      <alignment horizontal="right"/>
    </xf>
    <xf numFmtId="2" fontId="7" fillId="0" borderId="0" xfId="4" applyNumberFormat="1" applyFont="1" applyFill="1" applyBorder="1" applyAlignment="1" applyProtection="1">
      <alignment horizontal="right"/>
    </xf>
    <xf numFmtId="0" fontId="7" fillId="0" borderId="0" xfId="0" applyFont="1" applyFill="1" applyAlignment="1">
      <alignment vertical="top"/>
    </xf>
    <xf numFmtId="4" fontId="7" fillId="0" borderId="0" xfId="4" applyNumberFormat="1" applyFont="1" applyFill="1" applyBorder="1" applyAlignment="1" applyProtection="1">
      <alignment horizontal="right"/>
    </xf>
    <xf numFmtId="2" fontId="7" fillId="0" borderId="0" xfId="0" applyNumberFormat="1" applyFont="1" applyFill="1" applyAlignment="1">
      <alignment horizontal="justify" vertical="top"/>
    </xf>
    <xf numFmtId="0" fontId="6" fillId="0" borderId="0" xfId="0" applyFont="1" applyFill="1" applyAlignment="1">
      <alignment vertical="top"/>
    </xf>
    <xf numFmtId="0" fontId="6" fillId="0" borderId="0" xfId="0" applyFont="1" applyFill="1" applyAlignment="1">
      <alignment horizontal="left" vertical="top"/>
    </xf>
    <xf numFmtId="0" fontId="8" fillId="0" borderId="0" xfId="0" applyFont="1" applyFill="1" applyBorder="1" applyAlignment="1">
      <alignment horizontal="justify" vertical="top"/>
    </xf>
    <xf numFmtId="4" fontId="7" fillId="0" borderId="0" xfId="4" applyNumberFormat="1" applyFont="1" applyFill="1" applyAlignment="1">
      <alignment horizontal="right" vertical="top"/>
    </xf>
    <xf numFmtId="2" fontId="7" fillId="0" borderId="0" xfId="4" applyNumberFormat="1" applyFont="1" applyFill="1" applyAlignment="1">
      <alignment horizontal="right" vertical="top"/>
    </xf>
    <xf numFmtId="0" fontId="12" fillId="0" borderId="0" xfId="0" applyFont="1" applyFill="1" applyAlignment="1" applyProtection="1">
      <alignment horizontal="right" vertical="top"/>
    </xf>
    <xf numFmtId="0" fontId="12" fillId="0" borderId="0" xfId="0" applyFont="1" applyFill="1" applyAlignment="1" applyProtection="1">
      <alignment horizontal="left"/>
    </xf>
    <xf numFmtId="0" fontId="12" fillId="0" borderId="0" xfId="0" applyFont="1" applyFill="1" applyAlignment="1" applyProtection="1">
      <alignment horizontal="justify"/>
    </xf>
    <xf numFmtId="2" fontId="12" fillId="0" borderId="0" xfId="4" applyNumberFormat="1" applyFont="1" applyFill="1" applyBorder="1" applyAlignment="1" applyProtection="1">
      <alignment horizontal="right"/>
      <protection locked="0"/>
    </xf>
    <xf numFmtId="0" fontId="12" fillId="0" borderId="0" xfId="0" applyFont="1" applyFill="1" applyAlignment="1" applyProtection="1">
      <alignment horizontal="right"/>
    </xf>
    <xf numFmtId="2" fontId="12" fillId="0" borderId="0" xfId="4" applyNumberFormat="1" applyFont="1" applyFill="1" applyBorder="1" applyAlignment="1" applyProtection="1">
      <alignment horizontal="right"/>
    </xf>
    <xf numFmtId="0" fontId="12" fillId="0" borderId="0" xfId="0" applyFont="1" applyFill="1" applyProtection="1">
      <alignment wrapText="1"/>
    </xf>
    <xf numFmtId="0" fontId="7" fillId="0" borderId="0" xfId="0" applyFont="1" applyFill="1" applyAlignment="1">
      <alignment horizontal="center"/>
    </xf>
    <xf numFmtId="2" fontId="7" fillId="0" borderId="0" xfId="4" applyNumberFormat="1" applyFont="1" applyFill="1" applyBorder="1" applyAlignment="1" applyProtection="1">
      <alignment horizontal="right"/>
      <protection locked="0"/>
    </xf>
    <xf numFmtId="0" fontId="7" fillId="0" borderId="0" xfId="0" applyFont="1" applyFill="1" applyAlignment="1" applyProtection="1">
      <alignment horizontal="right" vertical="top"/>
    </xf>
    <xf numFmtId="0" fontId="7" fillId="0" borderId="0" xfId="0" applyFont="1" applyFill="1" applyAlignment="1" applyProtection="1">
      <alignment horizontal="left" vertical="top"/>
    </xf>
    <xf numFmtId="0" fontId="7" fillId="0" borderId="0" xfId="0" applyFont="1" applyFill="1" applyAlignment="1" applyProtection="1">
      <alignment vertical="top" wrapText="1"/>
    </xf>
    <xf numFmtId="0" fontId="6" fillId="0" borderId="0" xfId="0" applyFont="1" applyFill="1" applyAlignment="1">
      <alignment vertical="top" wrapText="1"/>
    </xf>
    <xf numFmtId="0" fontId="7" fillId="0" borderId="0" xfId="0" applyFont="1" applyFill="1" applyAlignment="1" applyProtection="1">
      <alignment vertical="top"/>
    </xf>
    <xf numFmtId="0" fontId="7" fillId="0" borderId="0" xfId="0" applyFont="1" applyFill="1" applyAlignment="1" applyProtection="1">
      <alignment horizontal="justify" vertical="top"/>
    </xf>
    <xf numFmtId="164" fontId="7" fillId="0" borderId="0" xfId="4" applyFont="1" applyFill="1" applyBorder="1" applyAlignment="1" applyProtection="1">
      <alignment vertical="top"/>
      <protection locked="0"/>
    </xf>
    <xf numFmtId="164" fontId="7" fillId="0" borderId="0" xfId="4" applyFont="1" applyFill="1" applyBorder="1" applyAlignment="1" applyProtection="1">
      <alignment vertical="top"/>
    </xf>
    <xf numFmtId="0" fontId="7" fillId="0" borderId="0" xfId="0" applyFont="1" applyFill="1" applyAlignment="1" applyProtection="1">
      <alignment horizontal="left"/>
    </xf>
    <xf numFmtId="0" fontId="7" fillId="0" borderId="0" xfId="0" applyFont="1" applyFill="1" applyAlignment="1" applyProtection="1">
      <alignment horizontal="right"/>
    </xf>
    <xf numFmtId="0" fontId="7" fillId="0" borderId="0" xfId="0" applyFont="1" applyFill="1" applyProtection="1">
      <alignment wrapText="1"/>
    </xf>
    <xf numFmtId="0" fontId="7" fillId="0" borderId="0" xfId="0" applyFont="1" applyFill="1" applyAlignment="1" applyProtection="1">
      <alignment horizontal="justify" vertical="top" wrapText="1"/>
    </xf>
    <xf numFmtId="4" fontId="7" fillId="0" borderId="0" xfId="0" applyNumberFormat="1" applyFont="1" applyFill="1" applyAlignment="1" applyProtection="1">
      <alignment horizontal="center"/>
    </xf>
    <xf numFmtId="0" fontId="7" fillId="0" borderId="0" xfId="0" applyFont="1" applyFill="1" applyBorder="1" applyAlignment="1" applyProtection="1">
      <alignment horizontal="right" vertical="top"/>
    </xf>
    <xf numFmtId="0" fontId="7" fillId="0" borderId="0" xfId="0" applyFont="1" applyFill="1" applyBorder="1" applyAlignment="1" applyProtection="1">
      <alignment horizontal="left"/>
    </xf>
    <xf numFmtId="0" fontId="7" fillId="0" borderId="0" xfId="0" applyFont="1" applyFill="1" applyAlignment="1" applyProtection="1">
      <alignment horizontal="justify"/>
    </xf>
    <xf numFmtId="49" fontId="7" fillId="0" borderId="0" xfId="0" applyNumberFormat="1" applyFont="1" applyFill="1" applyAlignment="1" applyProtection="1">
      <alignment horizontal="center"/>
    </xf>
    <xf numFmtId="0" fontId="7" fillId="0" borderId="0" xfId="0" applyFont="1" applyFill="1" applyBorder="1" applyAlignment="1" applyProtection="1">
      <alignment horizontal="justify"/>
    </xf>
    <xf numFmtId="0" fontId="7" fillId="0" borderId="0" xfId="0" applyFont="1" applyFill="1" applyBorder="1" applyAlignment="1" applyProtection="1">
      <alignment horizontal="right"/>
    </xf>
    <xf numFmtId="0" fontId="12" fillId="0" borderId="0" xfId="0" applyFont="1" applyFill="1" applyBorder="1" applyAlignment="1" applyProtection="1">
      <alignment horizontal="left"/>
    </xf>
    <xf numFmtId="0" fontId="12" fillId="0" borderId="0" xfId="0" applyFont="1" applyFill="1" applyBorder="1" applyAlignment="1" applyProtection="1">
      <alignment horizontal="right"/>
    </xf>
    <xf numFmtId="0" fontId="7" fillId="0" borderId="1" xfId="0" applyFont="1" applyFill="1" applyBorder="1" applyAlignment="1" applyProtection="1">
      <alignment horizontal="right" vertical="top"/>
    </xf>
    <xf numFmtId="0" fontId="7" fillId="0" borderId="2" xfId="0" applyFont="1" applyFill="1" applyBorder="1" applyAlignment="1" applyProtection="1">
      <alignment horizontal="left"/>
    </xf>
    <xf numFmtId="0" fontId="7" fillId="0" borderId="2" xfId="0" applyFont="1" applyFill="1" applyBorder="1" applyAlignment="1" applyProtection="1">
      <alignment horizontal="justify"/>
    </xf>
    <xf numFmtId="2" fontId="7" fillId="0" borderId="2" xfId="4" applyNumberFormat="1" applyFont="1" applyFill="1" applyBorder="1" applyAlignment="1" applyProtection="1">
      <alignment horizontal="right"/>
      <protection locked="0"/>
    </xf>
    <xf numFmtId="0" fontId="7" fillId="0" borderId="2" xfId="0" applyFont="1" applyFill="1" applyBorder="1" applyAlignment="1" applyProtection="1">
      <alignment horizontal="right"/>
    </xf>
    <xf numFmtId="2" fontId="7" fillId="0" borderId="2" xfId="4" applyNumberFormat="1" applyFont="1" applyFill="1" applyBorder="1" applyAlignment="1" applyProtection="1">
      <alignment horizontal="right"/>
    </xf>
    <xf numFmtId="0" fontId="6" fillId="0" borderId="0" xfId="0" applyFont="1" applyFill="1" applyBorder="1" applyAlignment="1" applyProtection="1">
      <alignment vertical="top" wrapText="1"/>
    </xf>
    <xf numFmtId="0" fontId="6" fillId="0" borderId="0" xfId="0" applyFont="1" applyFill="1" applyProtection="1">
      <alignment wrapText="1"/>
    </xf>
    <xf numFmtId="2" fontId="7" fillId="0" borderId="0" xfId="4" applyNumberFormat="1" applyFont="1" applyFill="1" applyAlignment="1">
      <alignment horizontal="right"/>
    </xf>
    <xf numFmtId="0" fontId="14" fillId="0" borderId="0" xfId="0" applyFont="1" applyFill="1">
      <alignment wrapText="1"/>
    </xf>
    <xf numFmtId="0" fontId="7" fillId="0" borderId="0" xfId="0" applyFont="1" applyFill="1" applyAlignment="1">
      <alignment horizontal="justify" vertical="top" wrapText="1"/>
    </xf>
    <xf numFmtId="4" fontId="10" fillId="0" borderId="0" xfId="4" applyNumberFormat="1" applyFont="1" applyFill="1" applyBorder="1" applyAlignment="1" applyProtection="1">
      <alignment horizontal="right"/>
    </xf>
    <xf numFmtId="0" fontId="10" fillId="0" borderId="0" xfId="0" applyFont="1" applyFill="1">
      <alignment wrapText="1"/>
    </xf>
    <xf numFmtId="0" fontId="10" fillId="0" borderId="0" xfId="0" applyFont="1" applyFill="1" applyAlignment="1">
      <alignment horizontal="justify"/>
    </xf>
    <xf numFmtId="0" fontId="12" fillId="0" borderId="0" xfId="0" applyFont="1" applyFill="1" applyBorder="1" applyAlignment="1" applyProtection="1">
      <alignment horizontal="right" vertical="top"/>
    </xf>
    <xf numFmtId="0" fontId="12" fillId="0" borderId="0" xfId="0" applyFont="1" applyFill="1" applyBorder="1" applyAlignment="1" applyProtection="1">
      <alignment horizontal="justify"/>
    </xf>
    <xf numFmtId="0" fontId="12" fillId="0" borderId="0" xfId="0" applyFont="1" applyFill="1" applyBorder="1" applyAlignment="1" applyProtection="1">
      <alignment horizontal="left" wrapText="1"/>
    </xf>
    <xf numFmtId="2" fontId="12" fillId="0" borderId="0" xfId="0" applyNumberFormat="1" applyFont="1" applyFill="1" applyBorder="1" applyAlignment="1" applyProtection="1">
      <alignment horizontal="left" wrapText="1"/>
      <protection locked="0"/>
    </xf>
    <xf numFmtId="4" fontId="12" fillId="0" borderId="0" xfId="4" applyNumberFormat="1" applyFont="1" applyFill="1" applyBorder="1" applyAlignment="1" applyProtection="1">
      <alignment horizontal="right"/>
    </xf>
    <xf numFmtId="0" fontId="9" fillId="0" borderId="0" xfId="0" applyFont="1" applyFill="1" applyAlignment="1">
      <alignment horizontal="justify"/>
    </xf>
    <xf numFmtId="0" fontId="9" fillId="0" borderId="0" xfId="0" applyFont="1" applyFill="1" applyAlignment="1">
      <alignment horizontal="left" wrapText="1"/>
    </xf>
    <xf numFmtId="2" fontId="9" fillId="0" borderId="0" xfId="4" applyNumberFormat="1" applyFont="1" applyFill="1" applyBorder="1" applyAlignment="1" applyProtection="1">
      <alignment horizontal="right"/>
      <protection locked="0"/>
    </xf>
    <xf numFmtId="0" fontId="9" fillId="0" borderId="0" xfId="0" applyFont="1" applyFill="1" applyAlignment="1">
      <alignment horizontal="right"/>
    </xf>
    <xf numFmtId="2" fontId="9" fillId="0" borderId="0" xfId="4" applyNumberFormat="1" applyFont="1" applyFill="1" applyBorder="1" applyAlignment="1" applyProtection="1">
      <alignment horizontal="right"/>
    </xf>
    <xf numFmtId="0" fontId="9" fillId="0" borderId="1" xfId="0" applyFont="1" applyFill="1" applyBorder="1" applyAlignment="1">
      <alignment horizontal="right" vertical="top"/>
    </xf>
    <xf numFmtId="0" fontId="10" fillId="0" borderId="1" xfId="0" applyFont="1" applyFill="1" applyBorder="1" applyAlignment="1">
      <alignment horizontal="left"/>
    </xf>
    <xf numFmtId="0" fontId="10" fillId="0" borderId="1" xfId="0" applyFont="1" applyFill="1" applyBorder="1" applyAlignment="1">
      <alignment horizontal="justify"/>
    </xf>
    <xf numFmtId="2" fontId="10" fillId="0" borderId="1" xfId="4" applyNumberFormat="1" applyFont="1" applyFill="1" applyBorder="1" applyAlignment="1" applyProtection="1">
      <alignment horizontal="right"/>
      <protection locked="0"/>
    </xf>
    <xf numFmtId="0" fontId="10" fillId="0" borderId="1" xfId="0" applyFont="1" applyFill="1" applyBorder="1" applyAlignment="1">
      <alignment horizontal="right"/>
    </xf>
    <xf numFmtId="2" fontId="10" fillId="0" borderId="1" xfId="4" applyNumberFormat="1" applyFont="1" applyFill="1" applyBorder="1" applyAlignment="1" applyProtection="1">
      <alignment horizontal="right"/>
    </xf>
    <xf numFmtId="0" fontId="9" fillId="0" borderId="0" xfId="0" applyFont="1" applyFill="1" applyBorder="1" applyAlignment="1">
      <alignment horizontal="right" vertical="top"/>
    </xf>
    <xf numFmtId="0" fontId="10" fillId="0" borderId="0" xfId="0" applyFont="1" applyFill="1" applyBorder="1" applyAlignment="1">
      <alignment horizontal="left"/>
    </xf>
    <xf numFmtId="0" fontId="10" fillId="0" borderId="0" xfId="0" applyFont="1" applyFill="1" applyBorder="1" applyAlignment="1">
      <alignment horizontal="justify"/>
    </xf>
    <xf numFmtId="0" fontId="10" fillId="0" borderId="0" xfId="0" applyFont="1" applyFill="1" applyBorder="1" applyAlignment="1">
      <alignment horizontal="right"/>
    </xf>
    <xf numFmtId="0" fontId="12" fillId="0" borderId="0" xfId="0" applyFont="1" applyFill="1" applyAlignment="1" applyProtection="1">
      <alignment horizontal="left" vertical="top"/>
    </xf>
    <xf numFmtId="0" fontId="9" fillId="0" borderId="0" xfId="0" applyFont="1" applyFill="1" applyAlignment="1" applyProtection="1">
      <alignment horizontal="right" vertical="top"/>
    </xf>
    <xf numFmtId="0" fontId="10" fillId="0" borderId="0" xfId="0" applyFont="1" applyFill="1" applyAlignment="1" applyProtection="1">
      <alignment horizontal="left" vertical="top"/>
    </xf>
    <xf numFmtId="2" fontId="10" fillId="0" borderId="0" xfId="4" applyNumberFormat="1" applyFont="1" applyFill="1" applyBorder="1" applyAlignment="1" applyProtection="1">
      <alignment horizontal="right" vertical="top"/>
      <protection locked="0"/>
    </xf>
    <xf numFmtId="0" fontId="10" fillId="0" borderId="0" xfId="0" applyFont="1" applyFill="1" applyAlignment="1" applyProtection="1">
      <alignment horizontal="right" vertical="top"/>
    </xf>
    <xf numFmtId="2" fontId="10" fillId="0" borderId="0" xfId="4" applyNumberFormat="1" applyFont="1" applyFill="1" applyBorder="1" applyAlignment="1" applyProtection="1">
      <alignment horizontal="right" vertical="top"/>
    </xf>
    <xf numFmtId="0" fontId="10" fillId="0" borderId="0" xfId="0" applyFont="1" applyFill="1" applyAlignment="1" applyProtection="1">
      <alignment vertical="top" wrapText="1"/>
    </xf>
    <xf numFmtId="165" fontId="6" fillId="0" borderId="0" xfId="0" applyNumberFormat="1" applyFont="1" applyFill="1" applyAlignment="1">
      <alignment horizontal="center" vertical="top"/>
    </xf>
    <xf numFmtId="165" fontId="7" fillId="0" borderId="0" xfId="0" applyNumberFormat="1" applyFont="1" applyFill="1" applyAlignment="1">
      <alignment horizontal="center" vertical="top"/>
    </xf>
    <xf numFmtId="165" fontId="7" fillId="0" borderId="0" xfId="0" applyNumberFormat="1" applyFont="1" applyFill="1" applyAlignment="1">
      <alignment horizontal="center"/>
    </xf>
    <xf numFmtId="165" fontId="7" fillId="0" borderId="0" xfId="0" applyNumberFormat="1" applyFont="1" applyFill="1" applyAlignment="1" applyProtection="1">
      <protection locked="0"/>
    </xf>
    <xf numFmtId="165" fontId="7" fillId="0" borderId="0" xfId="0" applyNumberFormat="1" applyFont="1" applyFill="1" applyAlignment="1"/>
    <xf numFmtId="165" fontId="8" fillId="0" borderId="0" xfId="0" applyNumberFormat="1" applyFont="1" applyFill="1" applyAlignment="1">
      <alignment horizontal="justify" vertical="top" wrapText="1"/>
    </xf>
    <xf numFmtId="165" fontId="7" fillId="0" borderId="0" xfId="0" applyNumberFormat="1" applyFont="1" applyFill="1" applyAlignment="1" applyProtection="1">
      <alignment horizontal="center"/>
      <protection locked="0"/>
    </xf>
    <xf numFmtId="0" fontId="8" fillId="0" borderId="0" xfId="0" quotePrefix="1" applyFont="1" applyFill="1" applyAlignment="1">
      <alignment horizontal="justify" vertical="top" wrapText="1"/>
    </xf>
    <xf numFmtId="165" fontId="10" fillId="0" borderId="0" xfId="0" applyNumberFormat="1" applyFont="1" applyFill="1" applyAlignment="1">
      <alignment horizontal="center"/>
    </xf>
    <xf numFmtId="165" fontId="10" fillId="0" borderId="0" xfId="0" applyNumberFormat="1" applyFont="1" applyFill="1" applyAlignment="1">
      <alignment horizontal="center" vertical="top"/>
    </xf>
    <xf numFmtId="165" fontId="10" fillId="0" borderId="0" xfId="0" applyNumberFormat="1" applyFont="1" applyFill="1" applyAlignment="1" applyProtection="1">
      <alignment horizontal="center"/>
      <protection locked="0"/>
    </xf>
    <xf numFmtId="165" fontId="8" fillId="0" borderId="0" xfId="0" applyNumberFormat="1" applyFont="1" applyFill="1" applyAlignment="1">
      <alignment vertical="top" wrapText="1"/>
    </xf>
    <xf numFmtId="165" fontId="8" fillId="0" borderId="0" xfId="0" quotePrefix="1" applyNumberFormat="1" applyFont="1" applyFill="1" applyAlignment="1">
      <alignment vertical="top" wrapText="1"/>
    </xf>
    <xf numFmtId="165" fontId="8" fillId="0" borderId="0" xfId="0" quotePrefix="1" applyNumberFormat="1" applyFont="1" applyFill="1" applyAlignment="1">
      <alignment horizontal="justify" vertical="top" wrapText="1"/>
    </xf>
    <xf numFmtId="0" fontId="12" fillId="0" borderId="0" xfId="0" applyFont="1" applyFill="1" applyAlignment="1">
      <alignment horizontal="center" vertical="top"/>
    </xf>
    <xf numFmtId="2" fontId="22" fillId="0" borderId="0" xfId="0" applyNumberFormat="1" applyFont="1" applyFill="1" applyAlignment="1">
      <alignment horizontal="justify" vertical="top"/>
    </xf>
    <xf numFmtId="0" fontId="25" fillId="0" borderId="0" xfId="0" applyFont="1" applyFill="1" applyAlignment="1" applyProtection="1">
      <alignment horizontal="center" vertical="top"/>
    </xf>
    <xf numFmtId="0" fontId="25" fillId="0" borderId="0" xfId="0" applyFont="1" applyFill="1" applyAlignment="1" applyProtection="1">
      <alignment vertical="top"/>
    </xf>
    <xf numFmtId="0" fontId="21" fillId="0" borderId="0" xfId="0" applyFont="1" applyFill="1" applyAlignment="1" applyProtection="1">
      <alignment horizontal="justify" vertical="top"/>
    </xf>
    <xf numFmtId="4" fontId="25" fillId="0" borderId="0" xfId="4" applyNumberFormat="1" applyFont="1" applyFill="1" applyAlignment="1" applyProtection="1">
      <alignment vertical="top"/>
      <protection locked="0"/>
    </xf>
    <xf numFmtId="4" fontId="25" fillId="0" borderId="0" xfId="4" applyNumberFormat="1" applyFont="1" applyFill="1" applyAlignment="1" applyProtection="1">
      <alignment vertical="top"/>
    </xf>
    <xf numFmtId="0" fontId="25" fillId="0" borderId="0" xfId="0" applyFont="1" applyFill="1" applyProtection="1">
      <alignment wrapText="1"/>
    </xf>
    <xf numFmtId="0" fontId="7" fillId="0" borderId="0" xfId="0" applyFont="1" applyFill="1" applyAlignment="1" applyProtection="1">
      <alignment horizontal="center" vertical="top"/>
    </xf>
    <xf numFmtId="4" fontId="7" fillId="0" borderId="0" xfId="4" applyNumberFormat="1" applyFont="1" applyFill="1" applyAlignment="1" applyProtection="1">
      <alignment horizontal="right"/>
      <protection locked="0"/>
    </xf>
    <xf numFmtId="0" fontId="7" fillId="0" borderId="0" xfId="0" applyFont="1" applyFill="1" applyAlignment="1" applyProtection="1">
      <alignment horizontal="center"/>
    </xf>
    <xf numFmtId="4" fontId="7" fillId="0" borderId="0" xfId="4" applyNumberFormat="1" applyFont="1" applyFill="1" applyAlignment="1" applyProtection="1">
      <alignment horizontal="right"/>
    </xf>
    <xf numFmtId="16" fontId="7" fillId="0" borderId="0" xfId="0" applyNumberFormat="1" applyFont="1" applyFill="1" applyAlignment="1">
      <alignment horizontal="right" vertical="top"/>
    </xf>
    <xf numFmtId="0" fontId="9" fillId="0" borderId="0" xfId="0" applyFont="1" applyFill="1" applyAlignment="1">
      <alignment horizontal="left" vertical="top"/>
    </xf>
    <xf numFmtId="0" fontId="9" fillId="0" borderId="0" xfId="0" applyFont="1" applyFill="1" applyAlignment="1"/>
    <xf numFmtId="0" fontId="13" fillId="0" borderId="0" xfId="0" applyFont="1" applyFill="1" applyBorder="1" applyAlignment="1">
      <alignment horizontal="right" vertical="top"/>
    </xf>
    <xf numFmtId="0" fontId="14" fillId="0" borderId="0" xfId="0" applyFont="1" applyFill="1" applyBorder="1" applyAlignment="1">
      <alignment horizontal="left"/>
    </xf>
    <xf numFmtId="0" fontId="14" fillId="0" borderId="0" xfId="0" applyFont="1" applyFill="1" applyBorder="1" applyAlignment="1">
      <alignment horizontal="justify"/>
    </xf>
    <xf numFmtId="2" fontId="14" fillId="0" borderId="0" xfId="4" applyNumberFormat="1" applyFont="1" applyFill="1" applyBorder="1" applyAlignment="1" applyProtection="1">
      <alignment horizontal="right"/>
      <protection locked="0"/>
    </xf>
    <xf numFmtId="0" fontId="14" fillId="0" borderId="0" xfId="0" applyFont="1" applyFill="1" applyBorder="1" applyAlignment="1">
      <alignment horizontal="right"/>
    </xf>
    <xf numFmtId="2" fontId="14" fillId="0" borderId="0" xfId="4" applyNumberFormat="1" applyFont="1" applyFill="1" applyBorder="1" applyAlignment="1" applyProtection="1">
      <alignment horizontal="right"/>
    </xf>
    <xf numFmtId="0" fontId="12" fillId="0" borderId="0" xfId="0" applyFont="1" applyFill="1" applyAlignment="1">
      <alignment horizontal="justify" vertical="top"/>
    </xf>
    <xf numFmtId="0" fontId="7" fillId="0" borderId="0" xfId="0" applyFont="1" applyFill="1" applyAlignment="1" applyProtection="1"/>
    <xf numFmtId="0" fontId="7" fillId="0" borderId="0" xfId="0" applyFont="1" applyFill="1" applyAlignment="1"/>
    <xf numFmtId="0" fontId="5" fillId="0" borderId="0" xfId="0" applyFont="1" applyFill="1" applyAlignment="1" applyProtection="1">
      <alignment horizontal="justify" vertical="top"/>
    </xf>
    <xf numFmtId="0" fontId="7" fillId="0" borderId="0" xfId="0" quotePrefix="1" applyFont="1" applyFill="1" applyAlignment="1" applyProtection="1">
      <alignment horizontal="justify" vertical="top"/>
    </xf>
    <xf numFmtId="0" fontId="7" fillId="0" borderId="0" xfId="0" quotePrefix="1" applyFont="1" applyFill="1" applyAlignment="1">
      <alignment horizontal="justify" vertical="top"/>
    </xf>
    <xf numFmtId="0" fontId="6" fillId="0" borderId="0" xfId="0" quotePrefix="1" applyFont="1" applyFill="1" applyAlignment="1">
      <alignment horizontal="justify" vertical="top"/>
    </xf>
    <xf numFmtId="0" fontId="6" fillId="0" borderId="0" xfId="0" quotePrefix="1" applyFont="1" applyFill="1" applyAlignment="1">
      <alignment horizontal="left" vertical="top"/>
    </xf>
    <xf numFmtId="0" fontId="12" fillId="0" borderId="0" xfId="0" applyFont="1" applyFill="1" applyAlignment="1" applyProtection="1">
      <alignment horizontal="left" wrapText="1"/>
    </xf>
    <xf numFmtId="0" fontId="7" fillId="0" borderId="1" xfId="0" applyFont="1" applyFill="1" applyBorder="1" applyAlignment="1" applyProtection="1">
      <alignment horizontal="left"/>
    </xf>
    <xf numFmtId="0" fontId="7" fillId="0" borderId="1" xfId="0" applyFont="1" applyFill="1" applyBorder="1" applyAlignment="1" applyProtection="1">
      <alignment horizontal="justify"/>
    </xf>
    <xf numFmtId="2" fontId="7" fillId="0" borderId="1" xfId="4" applyNumberFormat="1" applyFont="1" applyFill="1" applyBorder="1" applyAlignment="1" applyProtection="1">
      <alignment horizontal="right"/>
      <protection locked="0"/>
    </xf>
    <xf numFmtId="0" fontId="7" fillId="0" borderId="1" xfId="0" applyFont="1" applyFill="1" applyBorder="1" applyAlignment="1" applyProtection="1">
      <alignment horizontal="right"/>
    </xf>
    <xf numFmtId="2" fontId="7" fillId="0" borderId="1" xfId="4" applyNumberFormat="1" applyFont="1" applyFill="1" applyBorder="1" applyAlignment="1" applyProtection="1">
      <alignment horizontal="right"/>
    </xf>
    <xf numFmtId="165" fontId="7" fillId="0" borderId="0" xfId="0" applyNumberFormat="1" applyFont="1" applyFill="1" applyAlignment="1" applyProtection="1">
      <alignment horizontal="justify" vertical="top" wrapText="1"/>
    </xf>
    <xf numFmtId="0" fontId="8" fillId="0" borderId="0" xfId="13" applyFont="1" applyFill="1" applyAlignment="1">
      <alignment horizontal="justify" vertical="top"/>
    </xf>
    <xf numFmtId="0" fontId="15" fillId="0" borderId="0" xfId="0" applyFont="1" applyFill="1" applyAlignment="1" applyProtection="1">
      <alignment horizontal="center"/>
    </xf>
    <xf numFmtId="0" fontId="9" fillId="0" borderId="0" xfId="0" applyFont="1" applyFill="1" applyAlignment="1" applyProtection="1">
      <alignment horizontal="center"/>
    </xf>
    <xf numFmtId="0" fontId="12" fillId="0" borderId="0" xfId="0" applyFont="1" applyFill="1" applyAlignment="1" applyProtection="1">
      <alignment horizontal="center"/>
    </xf>
    <xf numFmtId="2" fontId="12" fillId="0" borderId="0" xfId="0" applyNumberFormat="1" applyFont="1" applyFill="1" applyAlignment="1" applyProtection="1">
      <alignment horizontal="left"/>
    </xf>
    <xf numFmtId="0" fontId="7" fillId="0" borderId="1" xfId="0" applyFont="1" applyFill="1" applyBorder="1" applyProtection="1">
      <alignment wrapText="1"/>
    </xf>
    <xf numFmtId="0" fontId="27" fillId="0" borderId="0" xfId="0" applyFont="1" applyFill="1" applyAlignment="1" applyProtection="1">
      <alignment horizontal="justify"/>
    </xf>
    <xf numFmtId="0" fontId="19" fillId="0" borderId="0" xfId="0" applyFont="1" applyFill="1" applyAlignment="1">
      <alignment horizontal="justify" vertical="top"/>
    </xf>
    <xf numFmtId="0" fontId="7" fillId="0" borderId="2" xfId="0" applyFont="1" applyFill="1" applyBorder="1" applyAlignment="1" applyProtection="1">
      <alignment horizontal="right" vertical="top"/>
    </xf>
    <xf numFmtId="3" fontId="7" fillId="0" borderId="0" xfId="0" applyNumberFormat="1" applyFont="1" applyFill="1" applyAlignment="1">
      <alignment horizontal="center"/>
    </xf>
    <xf numFmtId="0" fontId="27" fillId="0" borderId="0" xfId="0" applyFont="1" applyFill="1" applyAlignment="1" applyProtection="1">
      <alignment horizontal="right" vertical="top"/>
    </xf>
    <xf numFmtId="0" fontId="27" fillId="0" borderId="0" xfId="0" applyFont="1" applyFill="1" applyAlignment="1" applyProtection="1">
      <alignment horizontal="left"/>
    </xf>
    <xf numFmtId="2" fontId="27" fillId="0" borderId="0" xfId="4" applyNumberFormat="1" applyFont="1" applyFill="1" applyBorder="1" applyAlignment="1" applyProtection="1">
      <alignment horizontal="right"/>
      <protection locked="0"/>
    </xf>
    <xf numFmtId="0" fontId="27" fillId="0" borderId="0" xfId="0" applyFont="1" applyFill="1" applyAlignment="1" applyProtection="1">
      <alignment horizontal="right"/>
    </xf>
    <xf numFmtId="2" fontId="27" fillId="0" borderId="0" xfId="4" applyNumberFormat="1" applyFont="1" applyFill="1" applyBorder="1" applyAlignment="1" applyProtection="1">
      <alignment horizontal="right"/>
    </xf>
    <xf numFmtId="0" fontId="27" fillId="0" borderId="0" xfId="0" applyFont="1" applyFill="1" applyProtection="1">
      <alignment wrapText="1"/>
    </xf>
    <xf numFmtId="49" fontId="28" fillId="0" borderId="0" xfId="0" applyNumberFormat="1" applyFont="1" applyFill="1" applyAlignment="1">
      <alignment horizontal="center"/>
    </xf>
    <xf numFmtId="0" fontId="40" fillId="0" borderId="0" xfId="11" applyFont="1" applyFill="1" applyAlignment="1">
      <alignment vertical="top" wrapText="1"/>
    </xf>
    <xf numFmtId="0" fontId="41" fillId="0" borderId="0" xfId="11" applyFont="1" applyFill="1" applyAlignment="1">
      <alignment horizontal="justify" vertical="top" wrapText="1"/>
    </xf>
    <xf numFmtId="0" fontId="40" fillId="0" borderId="0" xfId="11" applyFont="1" applyFill="1" applyAlignment="1">
      <alignment horizontal="justify" vertical="top" wrapText="1"/>
    </xf>
    <xf numFmtId="0" fontId="40" fillId="0" borderId="0" xfId="11" applyFont="1" applyFill="1" applyAlignment="1">
      <alignment horizontal="left" wrapText="1"/>
    </xf>
    <xf numFmtId="0" fontId="40" fillId="0" borderId="0" xfId="11" quotePrefix="1" applyFont="1" applyFill="1" applyAlignment="1">
      <alignment horizontal="left" wrapText="1"/>
    </xf>
    <xf numFmtId="0" fontId="42" fillId="0" borderId="0" xfId="0" applyFont="1" applyFill="1" applyAlignment="1">
      <alignment vertical="top"/>
    </xf>
    <xf numFmtId="0" fontId="43" fillId="0" borderId="0" xfId="0" applyFont="1" applyFill="1">
      <alignment wrapText="1"/>
    </xf>
    <xf numFmtId="0" fontId="43" fillId="0" borderId="0" xfId="0" applyFont="1" applyFill="1" applyAlignment="1">
      <alignment horizontal="left"/>
    </xf>
    <xf numFmtId="0" fontId="43" fillId="0" borderId="0" xfId="0" applyFont="1" applyFill="1" applyAlignment="1">
      <alignment vertical="top" wrapText="1"/>
    </xf>
    <xf numFmtId="0" fontId="43" fillId="0" borderId="0" xfId="0" applyFont="1" applyFill="1" applyAlignment="1">
      <alignment horizontal="right" vertical="top"/>
    </xf>
    <xf numFmtId="0" fontId="43" fillId="0" borderId="0" xfId="0" applyFont="1" applyFill="1" applyAlignment="1">
      <alignment horizontal="right"/>
    </xf>
    <xf numFmtId="0" fontId="43" fillId="0" borderId="0" xfId="0" applyFont="1" applyFill="1" applyAlignment="1">
      <alignment horizontal="center" vertical="top"/>
    </xf>
    <xf numFmtId="0" fontId="43" fillId="0" borderId="0" xfId="0" applyFont="1" applyFill="1" applyAlignment="1">
      <alignment horizontal="justify" vertical="top"/>
    </xf>
    <xf numFmtId="4" fontId="43" fillId="0" borderId="0" xfId="4" applyNumberFormat="1" applyFont="1" applyFill="1" applyBorder="1" applyAlignment="1" applyProtection="1">
      <alignment horizontal="right"/>
    </xf>
    <xf numFmtId="0" fontId="44" fillId="0" borderId="0" xfId="0" applyFont="1" applyFill="1" applyAlignment="1">
      <alignment horizontal="center" vertical="top"/>
    </xf>
    <xf numFmtId="2" fontId="43" fillId="0" borderId="0" xfId="0" applyNumberFormat="1" applyFont="1" applyFill="1" applyAlignment="1">
      <alignment horizontal="justify" vertical="top"/>
    </xf>
    <xf numFmtId="0" fontId="43" fillId="0" borderId="0" xfId="0" applyFont="1" applyFill="1" applyAlignment="1">
      <alignment vertical="top"/>
    </xf>
    <xf numFmtId="0" fontId="43" fillId="0" borderId="0" xfId="0" applyFont="1" applyFill="1" applyAlignment="1">
      <alignment horizontal="left" vertical="top"/>
    </xf>
    <xf numFmtId="2" fontId="43" fillId="0" borderId="0" xfId="4" applyNumberFormat="1" applyFont="1" applyFill="1" applyBorder="1" applyAlignment="1" applyProtection="1">
      <alignment horizontal="right" vertical="top"/>
      <protection locked="0"/>
    </xf>
    <xf numFmtId="2" fontId="43" fillId="0" borderId="0" xfId="4" applyNumberFormat="1" applyFont="1" applyFill="1" applyBorder="1" applyAlignment="1" applyProtection="1">
      <alignment horizontal="right" vertical="top"/>
    </xf>
    <xf numFmtId="2" fontId="44" fillId="0" borderId="0" xfId="0" applyNumberFormat="1" applyFont="1" applyFill="1" applyAlignment="1">
      <alignment horizontal="justify" vertical="top"/>
    </xf>
    <xf numFmtId="49" fontId="43" fillId="0" borderId="0" xfId="0" applyNumberFormat="1" applyFont="1" applyFill="1" applyAlignment="1">
      <alignment horizontal="center" vertical="top"/>
    </xf>
    <xf numFmtId="0" fontId="45" fillId="0" borderId="0" xfId="0" applyFont="1" applyFill="1" applyAlignment="1" applyProtection="1">
      <alignment horizontal="right" vertical="top"/>
    </xf>
    <xf numFmtId="0" fontId="46" fillId="0" borderId="0" xfId="0" applyFont="1" applyFill="1" applyAlignment="1" applyProtection="1">
      <alignment horizontal="left" vertical="top"/>
    </xf>
    <xf numFmtId="0" fontId="47" fillId="0" borderId="0" xfId="0" applyFont="1" applyFill="1" applyAlignment="1" applyProtection="1">
      <alignment horizontal="justify" vertical="top"/>
    </xf>
    <xf numFmtId="2" fontId="46" fillId="0" borderId="0" xfId="4" applyNumberFormat="1" applyFont="1" applyFill="1" applyBorder="1" applyAlignment="1" applyProtection="1">
      <alignment horizontal="right" vertical="top"/>
      <protection locked="0"/>
    </xf>
    <xf numFmtId="0" fontId="46" fillId="0" borderId="0" xfId="0" applyFont="1" applyFill="1" applyAlignment="1" applyProtection="1">
      <alignment horizontal="right" vertical="top"/>
    </xf>
    <xf numFmtId="2" fontId="46" fillId="0" borderId="0" xfId="4" applyNumberFormat="1" applyFont="1" applyFill="1" applyBorder="1" applyAlignment="1" applyProtection="1">
      <alignment horizontal="right" vertical="top"/>
    </xf>
    <xf numFmtId="0" fontId="46" fillId="0" borderId="0" xfId="0" applyFont="1" applyFill="1" applyAlignment="1" applyProtection="1">
      <alignment vertical="top" wrapText="1"/>
    </xf>
    <xf numFmtId="0" fontId="43" fillId="0" borderId="0" xfId="0" applyFont="1" applyFill="1" applyAlignment="1" applyProtection="1">
      <alignment horizontal="justify" vertical="top"/>
    </xf>
    <xf numFmtId="164" fontId="43" fillId="0" borderId="0" xfId="4" applyFont="1" applyFill="1" applyBorder="1" applyAlignment="1" applyProtection="1">
      <alignment horizontal="right"/>
      <protection locked="0"/>
    </xf>
    <xf numFmtId="4" fontId="43" fillId="0" borderId="0" xfId="4" applyNumberFormat="1" applyFont="1" applyFill="1" applyBorder="1" applyAlignment="1" applyProtection="1">
      <alignment horizontal="right" vertical="top"/>
    </xf>
    <xf numFmtId="0" fontId="48" fillId="0" borderId="0" xfId="0" applyFont="1" applyFill="1" applyAlignment="1" applyProtection="1">
      <alignment horizontal="center" vertical="top"/>
    </xf>
    <xf numFmtId="0" fontId="48" fillId="0" borderId="0" xfId="0" applyFont="1" applyFill="1" applyAlignment="1" applyProtection="1">
      <alignment vertical="top"/>
    </xf>
    <xf numFmtId="0" fontId="49" fillId="0" borderId="0" xfId="0" applyFont="1" applyFill="1" applyAlignment="1" applyProtection="1">
      <alignment horizontal="justify" vertical="top"/>
    </xf>
    <xf numFmtId="4" fontId="48" fillId="0" borderId="0" xfId="4" applyNumberFormat="1" applyFont="1" applyFill="1" applyAlignment="1" applyProtection="1">
      <alignment vertical="top"/>
      <protection locked="0"/>
    </xf>
    <xf numFmtId="4" fontId="48" fillId="0" borderId="0" xfId="4" applyNumberFormat="1" applyFont="1" applyFill="1" applyAlignment="1" applyProtection="1">
      <alignment vertical="top"/>
    </xf>
    <xf numFmtId="0" fontId="48" fillId="0" borderId="0" xfId="0" applyFont="1" applyFill="1" applyProtection="1">
      <alignment wrapText="1"/>
    </xf>
    <xf numFmtId="0" fontId="43" fillId="0" borderId="0" xfId="0" applyFont="1" applyFill="1" applyAlignment="1" applyProtection="1">
      <alignment horizontal="center" vertical="top"/>
    </xf>
    <xf numFmtId="49" fontId="43" fillId="0" borderId="0" xfId="0" applyNumberFormat="1" applyFont="1" applyFill="1" applyAlignment="1" applyProtection="1">
      <alignment horizontal="center"/>
    </xf>
    <xf numFmtId="0" fontId="40" fillId="0" borderId="0" xfId="0" applyFont="1" applyAlignment="1" applyProtection="1">
      <alignment horizontal="center" wrapText="1"/>
    </xf>
    <xf numFmtId="4" fontId="43" fillId="0" borderId="0" xfId="4" applyNumberFormat="1" applyFont="1" applyFill="1" applyAlignment="1" applyProtection="1">
      <alignment horizontal="right"/>
      <protection locked="0"/>
    </xf>
    <xf numFmtId="0" fontId="43" fillId="0" borderId="0" xfId="0" applyFont="1" applyFill="1" applyAlignment="1" applyProtection="1">
      <alignment horizontal="center"/>
    </xf>
    <xf numFmtId="4" fontId="43" fillId="0" borderId="0" xfId="4" applyNumberFormat="1" applyFont="1" applyFill="1" applyAlignment="1" applyProtection="1">
      <alignment horizontal="right"/>
    </xf>
    <xf numFmtId="0" fontId="43" fillId="0" borderId="0" xfId="0" applyFont="1" applyFill="1" applyProtection="1">
      <alignment wrapText="1"/>
    </xf>
    <xf numFmtId="0" fontId="42" fillId="0" borderId="0" xfId="0" applyFont="1" applyFill="1" applyAlignment="1" applyProtection="1">
      <alignment horizontal="left"/>
    </xf>
    <xf numFmtId="0" fontId="43" fillId="0" borderId="0" xfId="0" applyFont="1" applyFill="1" applyAlignment="1">
      <alignment horizontal="center"/>
    </xf>
    <xf numFmtId="4" fontId="43" fillId="0" borderId="0" xfId="0" applyNumberFormat="1" applyFont="1" applyFill="1">
      <alignment wrapText="1"/>
    </xf>
    <xf numFmtId="4" fontId="43" fillId="0" borderId="0" xfId="0" applyNumberFormat="1" applyFont="1" applyFill="1" applyAlignment="1">
      <alignment horizontal="center" wrapText="1"/>
    </xf>
    <xf numFmtId="0" fontId="43" fillId="0" borderId="0" xfId="0" applyFont="1" applyFill="1" applyAlignment="1">
      <alignment horizontal="right" wrapText="1"/>
    </xf>
    <xf numFmtId="0" fontId="50" fillId="0" borderId="0" xfId="0" applyFont="1" applyFill="1" applyAlignment="1">
      <alignment horizontal="center" vertical="top"/>
    </xf>
    <xf numFmtId="0" fontId="50" fillId="0" borderId="0" xfId="0" applyFont="1" applyFill="1" applyAlignment="1" applyProtection="1">
      <alignment vertical="top" wrapText="1"/>
    </xf>
    <xf numFmtId="0" fontId="50" fillId="0" borderId="0" xfId="0" applyFont="1" applyFill="1" applyBorder="1" applyAlignment="1" applyProtection="1">
      <alignment vertical="top" wrapText="1"/>
    </xf>
    <xf numFmtId="0" fontId="50" fillId="0" borderId="0" xfId="0" applyFont="1" applyFill="1" applyAlignment="1" applyProtection="1">
      <alignment horizontal="center" vertical="top"/>
    </xf>
    <xf numFmtId="0" fontId="50" fillId="0" borderId="0" xfId="0" applyFont="1" applyFill="1" applyAlignment="1" applyProtection="1">
      <alignment horizontal="right" vertical="top"/>
    </xf>
    <xf numFmtId="0" fontId="50" fillId="0" borderId="0" xfId="0" applyFont="1" applyFill="1" applyAlignment="1" applyProtection="1">
      <alignment horizontal="left" vertical="top"/>
    </xf>
    <xf numFmtId="164" fontId="50" fillId="0" borderId="0" xfId="4" applyFont="1" applyFill="1" applyBorder="1" applyAlignment="1" applyProtection="1">
      <alignment vertical="top"/>
      <protection locked="0"/>
    </xf>
    <xf numFmtId="0" fontId="50" fillId="0" borderId="0" xfId="0" applyFont="1" applyFill="1" applyAlignment="1" applyProtection="1">
      <alignment vertical="top"/>
    </xf>
    <xf numFmtId="164" fontId="50" fillId="0" borderId="0" xfId="4" applyFont="1" applyFill="1" applyBorder="1" applyAlignment="1" applyProtection="1">
      <alignment vertical="top"/>
    </xf>
    <xf numFmtId="0" fontId="8" fillId="0" borderId="0" xfId="0" applyFont="1" applyFill="1" applyAlignment="1" applyProtection="1">
      <alignment horizontal="justify" vertical="top"/>
    </xf>
    <xf numFmtId="165" fontId="43" fillId="0" borderId="0" xfId="0" applyNumberFormat="1" applyFont="1" applyFill="1" applyAlignment="1">
      <alignment horizontal="justify" vertical="top"/>
    </xf>
    <xf numFmtId="0" fontId="50" fillId="0" borderId="0" xfId="0" applyFont="1" applyFill="1" applyAlignment="1">
      <alignment horizontal="right" vertical="top"/>
    </xf>
    <xf numFmtId="0" fontId="50" fillId="0" borderId="0" xfId="0" applyFont="1" applyFill="1" applyAlignment="1">
      <alignment horizontal="left" vertical="top"/>
    </xf>
    <xf numFmtId="2" fontId="50" fillId="0" borderId="0" xfId="4" applyNumberFormat="1" applyFont="1" applyFill="1" applyBorder="1" applyAlignment="1" applyProtection="1">
      <alignment horizontal="right" vertical="top"/>
      <protection locked="0"/>
    </xf>
    <xf numFmtId="2" fontId="50" fillId="0" borderId="0" xfId="4" applyNumberFormat="1" applyFont="1" applyFill="1" applyBorder="1" applyAlignment="1" applyProtection="1">
      <alignment horizontal="right" vertical="top"/>
    </xf>
    <xf numFmtId="165" fontId="51" fillId="0" borderId="0" xfId="0" applyNumberFormat="1" applyFont="1" applyFill="1" applyAlignment="1"/>
    <xf numFmtId="165" fontId="51" fillId="0" borderId="0" xfId="0" applyNumberFormat="1" applyFont="1" applyFill="1" applyBorder="1" applyAlignment="1"/>
    <xf numFmtId="2" fontId="8" fillId="0" borderId="0" xfId="0" applyNumberFormat="1" applyFont="1" applyFill="1" applyAlignment="1">
      <alignment horizontal="justify" vertical="top" wrapText="1"/>
    </xf>
    <xf numFmtId="2" fontId="41" fillId="0" borderId="0" xfId="0" applyNumberFormat="1" applyFont="1" applyFill="1" applyAlignment="1">
      <alignment horizontal="justify" vertical="top"/>
    </xf>
    <xf numFmtId="2" fontId="7" fillId="0" borderId="0" xfId="0" applyNumberFormat="1" applyFont="1" applyFill="1" applyAlignment="1" applyProtection="1">
      <alignment horizontal="center"/>
    </xf>
    <xf numFmtId="4" fontId="7" fillId="0" borderId="0" xfId="0" applyNumberFormat="1" applyFont="1" applyFill="1" applyProtection="1">
      <alignment wrapText="1"/>
      <protection locked="0"/>
    </xf>
    <xf numFmtId="4" fontId="7" fillId="0" borderId="0" xfId="0" applyNumberFormat="1" applyFont="1" applyFill="1" applyProtection="1">
      <alignment wrapText="1"/>
    </xf>
    <xf numFmtId="0" fontId="7" fillId="0" borderId="2" xfId="0" applyFont="1" applyFill="1" applyBorder="1" applyAlignment="1" applyProtection="1">
      <alignment vertical="top"/>
    </xf>
    <xf numFmtId="2" fontId="7" fillId="0" borderId="0" xfId="0" applyNumberFormat="1" applyFont="1" applyFill="1" applyAlignment="1" applyProtection="1">
      <alignment horizontal="left"/>
    </xf>
    <xf numFmtId="2" fontId="7" fillId="0" borderId="2" xfId="0" applyNumberFormat="1" applyFont="1" applyFill="1" applyBorder="1" applyAlignment="1" applyProtection="1">
      <alignment horizontal="left"/>
    </xf>
    <xf numFmtId="4" fontId="43" fillId="0" borderId="0" xfId="0" applyNumberFormat="1" applyFont="1" applyFill="1" applyProtection="1">
      <alignment wrapText="1"/>
      <protection locked="0"/>
    </xf>
    <xf numFmtId="0" fontId="7" fillId="0" borderId="2" xfId="0" applyFont="1" applyFill="1" applyBorder="1" applyAlignment="1">
      <alignment horizontal="center" vertical="top"/>
    </xf>
    <xf numFmtId="0" fontId="7" fillId="0" borderId="2" xfId="0" quotePrefix="1" applyFont="1" applyFill="1" applyBorder="1" applyAlignment="1">
      <alignment horizontal="justify" vertical="top"/>
    </xf>
    <xf numFmtId="0" fontId="7" fillId="0" borderId="2" xfId="0" applyFont="1" applyFill="1" applyBorder="1" applyAlignment="1">
      <alignment horizontal="center"/>
    </xf>
    <xf numFmtId="0" fontId="7" fillId="0" borderId="2" xfId="0" applyFont="1" applyFill="1" applyBorder="1" applyProtection="1">
      <alignment wrapText="1"/>
      <protection locked="0"/>
    </xf>
    <xf numFmtId="0" fontId="7" fillId="0" borderId="2" xfId="0" applyFont="1" applyFill="1" applyBorder="1">
      <alignment wrapText="1"/>
    </xf>
    <xf numFmtId="2" fontId="50" fillId="0" borderId="0" xfId="0" applyNumberFormat="1" applyFont="1" applyFill="1" applyAlignment="1" applyProtection="1">
      <alignment horizontal="left"/>
    </xf>
    <xf numFmtId="0" fontId="50" fillId="0" borderId="0" xfId="0" applyFont="1" applyFill="1" applyAlignment="1" applyProtection="1">
      <alignment horizontal="right"/>
    </xf>
    <xf numFmtId="0" fontId="9" fillId="0" borderId="0" xfId="0" applyFont="1" applyFill="1" applyAlignment="1" applyProtection="1">
      <alignment vertical="top"/>
    </xf>
    <xf numFmtId="0" fontId="10" fillId="0" borderId="0" xfId="0" applyFont="1" applyFill="1" applyAlignment="1" applyProtection="1">
      <alignment horizontal="justify"/>
    </xf>
    <xf numFmtId="4" fontId="10" fillId="0" borderId="0" xfId="0" applyNumberFormat="1" applyFont="1" applyFill="1" applyProtection="1">
      <alignment wrapText="1"/>
      <protection locked="0"/>
    </xf>
    <xf numFmtId="0" fontId="10" fillId="0" borderId="0" xfId="0" applyFont="1" applyFill="1" applyAlignment="1" applyProtection="1">
      <alignment horizontal="center"/>
    </xf>
    <xf numFmtId="4" fontId="10" fillId="0" borderId="0" xfId="0" applyNumberFormat="1" applyFont="1" applyFill="1" applyProtection="1">
      <alignment wrapText="1"/>
    </xf>
    <xf numFmtId="165" fontId="12" fillId="0" borderId="0" xfId="0" applyNumberFormat="1" applyFont="1" applyFill="1" applyAlignment="1">
      <alignment horizontal="center"/>
    </xf>
    <xf numFmtId="2" fontId="12" fillId="0" borderId="0" xfId="0" applyNumberFormat="1" applyFont="1" applyFill="1" applyAlignment="1">
      <alignment horizontal="left"/>
    </xf>
    <xf numFmtId="4" fontId="7" fillId="0" borderId="0" xfId="0" applyNumberFormat="1" applyFont="1" applyFill="1" applyAlignment="1" applyProtection="1">
      <alignment horizontal="center"/>
      <protection locked="0"/>
    </xf>
    <xf numFmtId="4" fontId="7" fillId="0" borderId="0" xfId="0" applyNumberFormat="1" applyFont="1" applyFill="1" applyAlignment="1">
      <alignment horizontal="right"/>
    </xf>
    <xf numFmtId="2" fontId="7" fillId="0" borderId="0" xfId="0" quotePrefix="1" applyNumberFormat="1" applyFont="1" applyFill="1" applyAlignment="1">
      <alignment horizontal="left"/>
    </xf>
    <xf numFmtId="165" fontId="10" fillId="0" borderId="0" xfId="0" applyNumberFormat="1" applyFont="1" applyFill="1" applyAlignment="1"/>
    <xf numFmtId="0" fontId="7" fillId="0" borderId="0" xfId="0" applyFont="1" applyFill="1" applyBorder="1" applyAlignment="1">
      <alignment horizontal="center" vertical="top"/>
    </xf>
    <xf numFmtId="0" fontId="7" fillId="0" borderId="0" xfId="0" quotePrefix="1" applyFont="1" applyFill="1" applyBorder="1" applyAlignment="1">
      <alignment horizontal="justify" vertical="top"/>
    </xf>
    <xf numFmtId="0" fontId="7" fillId="0" borderId="0" xfId="0" applyFont="1" applyFill="1" applyBorder="1" applyAlignment="1">
      <alignment horizontal="center"/>
    </xf>
    <xf numFmtId="0" fontId="7" fillId="0" borderId="0" xfId="0" applyFont="1" applyFill="1" applyBorder="1" applyProtection="1">
      <alignment wrapText="1"/>
      <protection locked="0"/>
    </xf>
    <xf numFmtId="0" fontId="7" fillId="0" borderId="0" xfId="0" applyFont="1" applyFill="1" applyBorder="1">
      <alignment wrapText="1"/>
    </xf>
    <xf numFmtId="0" fontId="8" fillId="0" borderId="0" xfId="0" applyFont="1" applyFill="1" applyAlignment="1">
      <alignment horizontal="justify" vertical="top" wrapText="1"/>
    </xf>
    <xf numFmtId="0" fontId="11" fillId="0" borderId="0" xfId="0" applyFont="1" applyFill="1" applyAlignment="1">
      <alignment horizontal="justify" vertical="top" wrapText="1"/>
    </xf>
    <xf numFmtId="4" fontId="7" fillId="0" borderId="0" xfId="0" applyNumberFormat="1" applyFont="1" applyFill="1">
      <alignment wrapText="1"/>
    </xf>
    <xf numFmtId="0" fontId="43" fillId="0" borderId="0" xfId="0" applyFont="1" applyFill="1" applyBorder="1" applyAlignment="1">
      <alignment horizontal="center" vertical="top"/>
    </xf>
    <xf numFmtId="0" fontId="43" fillId="0" borderId="0" xfId="0" quotePrefix="1" applyFont="1" applyFill="1" applyBorder="1" applyAlignment="1">
      <alignment horizontal="justify" vertical="top"/>
    </xf>
    <xf numFmtId="0" fontId="43" fillId="0" borderId="0" xfId="0" applyFont="1" applyFill="1" applyBorder="1" applyAlignment="1">
      <alignment horizontal="center"/>
    </xf>
    <xf numFmtId="0" fontId="43" fillId="0" borderId="0" xfId="0" applyFont="1" applyFill="1" applyBorder="1" applyProtection="1">
      <alignment wrapText="1"/>
      <protection locked="0"/>
    </xf>
    <xf numFmtId="0" fontId="43" fillId="0" borderId="0" xfId="0" applyFont="1" applyFill="1" applyBorder="1">
      <alignment wrapText="1"/>
    </xf>
    <xf numFmtId="165" fontId="12" fillId="0" borderId="0" xfId="0" applyNumberFormat="1" applyFont="1" applyFill="1" applyBorder="1" applyAlignment="1">
      <alignment horizontal="center"/>
    </xf>
    <xf numFmtId="2" fontId="7" fillId="0" borderId="0" xfId="0" quotePrefix="1" applyNumberFormat="1" applyFont="1" applyFill="1" applyBorder="1" applyAlignment="1">
      <alignment horizontal="left"/>
    </xf>
    <xf numFmtId="165" fontId="7" fillId="0" borderId="0" xfId="0" applyNumberFormat="1" applyFont="1" applyFill="1" applyBorder="1" applyAlignment="1">
      <alignment horizontal="center" vertical="top"/>
    </xf>
    <xf numFmtId="4" fontId="7" fillId="0" borderId="0" xfId="0" applyNumberFormat="1" applyFont="1" applyFill="1" applyBorder="1" applyAlignment="1" applyProtection="1">
      <alignment horizontal="center"/>
      <protection locked="0"/>
    </xf>
    <xf numFmtId="165" fontId="7" fillId="0" borderId="0" xfId="0" applyNumberFormat="1" applyFont="1" applyFill="1" applyBorder="1" applyAlignment="1">
      <alignment horizontal="center"/>
    </xf>
    <xf numFmtId="4" fontId="7" fillId="0" borderId="0" xfId="0" applyNumberFormat="1" applyFont="1" applyFill="1" applyBorder="1" applyAlignment="1">
      <alignment horizontal="right"/>
    </xf>
    <xf numFmtId="4" fontId="7" fillId="0" borderId="0" xfId="13" applyNumberFormat="1" applyFont="1" applyFill="1" applyAlignment="1">
      <alignment horizontal="justify" vertical="top"/>
    </xf>
    <xf numFmtId="165" fontId="10" fillId="0" borderId="0" xfId="0" applyNumberFormat="1" applyFont="1" applyFill="1" applyBorder="1" applyAlignment="1"/>
    <xf numFmtId="0" fontId="45" fillId="0" borderId="0" xfId="0" applyFont="1" applyFill="1" applyAlignment="1" applyProtection="1">
      <alignment vertical="top"/>
    </xf>
    <xf numFmtId="2" fontId="43" fillId="0" borderId="0" xfId="0" applyNumberFormat="1" applyFont="1" applyFill="1" applyAlignment="1" applyProtection="1">
      <alignment horizontal="center"/>
    </xf>
    <xf numFmtId="0" fontId="46" fillId="0" borderId="0" xfId="0" applyFont="1" applyFill="1" applyAlignment="1" applyProtection="1">
      <alignment horizontal="justify"/>
    </xf>
    <xf numFmtId="4" fontId="46" fillId="0" borderId="0" xfId="0" applyNumberFormat="1" applyFont="1" applyFill="1" applyProtection="1">
      <alignment wrapText="1"/>
      <protection locked="0"/>
    </xf>
    <xf numFmtId="0" fontId="46" fillId="0" borderId="0" xfId="0" applyFont="1" applyFill="1" applyAlignment="1" applyProtection="1">
      <alignment horizontal="center"/>
    </xf>
    <xf numFmtId="4" fontId="46" fillId="0" borderId="0" xfId="0" applyNumberFormat="1" applyFont="1" applyFill="1" applyProtection="1">
      <alignment wrapText="1"/>
    </xf>
    <xf numFmtId="0" fontId="40" fillId="0" borderId="0" xfId="0" applyFont="1" applyFill="1" applyProtection="1">
      <alignment wrapText="1"/>
    </xf>
    <xf numFmtId="165" fontId="7" fillId="0" borderId="0" xfId="0" applyNumberFormat="1" applyFont="1" applyFill="1" applyAlignment="1" applyProtection="1">
      <alignment horizontal="center"/>
    </xf>
    <xf numFmtId="4" fontId="7" fillId="0" borderId="0" xfId="0" applyNumberFormat="1" applyFont="1" applyFill="1" applyAlignment="1" applyProtection="1">
      <protection locked="0"/>
    </xf>
    <xf numFmtId="4" fontId="7" fillId="0" borderId="0" xfId="0" applyNumberFormat="1" applyFont="1" applyFill="1" applyAlignment="1" applyProtection="1"/>
    <xf numFmtId="165" fontId="7" fillId="0" borderId="0" xfId="0" applyNumberFormat="1" applyFont="1" applyFill="1" applyAlignment="1" applyProtection="1">
      <alignment horizontal="center" vertical="top"/>
    </xf>
    <xf numFmtId="165" fontId="10" fillId="0" borderId="0" xfId="0" applyNumberFormat="1" applyFont="1" applyFill="1" applyAlignment="1" applyProtection="1"/>
    <xf numFmtId="0" fontId="7" fillId="0" borderId="0" xfId="0" applyFont="1" applyFill="1" applyAlignment="1">
      <alignment horizontal="justify"/>
    </xf>
    <xf numFmtId="4" fontId="10" fillId="0" borderId="2" xfId="0" applyNumberFormat="1" applyFont="1" applyFill="1" applyBorder="1" applyProtection="1">
      <alignment wrapText="1"/>
      <protection locked="0"/>
    </xf>
    <xf numFmtId="0" fontId="10" fillId="0" borderId="2" xfId="0" applyFont="1" applyFill="1" applyBorder="1" applyAlignment="1" applyProtection="1">
      <alignment horizontal="center"/>
    </xf>
    <xf numFmtId="4" fontId="10" fillId="0" borderId="2" xfId="0" applyNumberFormat="1" applyFont="1" applyFill="1" applyBorder="1" applyProtection="1">
      <alignment wrapText="1"/>
    </xf>
    <xf numFmtId="4" fontId="9" fillId="0" borderId="0" xfId="13" applyNumberFormat="1" applyFont="1" applyFill="1" applyAlignment="1" applyProtection="1">
      <alignment horizontal="justify"/>
    </xf>
    <xf numFmtId="4" fontId="5" fillId="0" borderId="0" xfId="13" applyNumberFormat="1" applyFont="1" applyFill="1" applyAlignment="1" applyProtection="1">
      <alignment horizontal="justify" vertical="top"/>
    </xf>
    <xf numFmtId="49" fontId="7" fillId="0" borderId="0" xfId="0" applyNumberFormat="1" applyFont="1" applyFill="1" applyAlignment="1">
      <alignment horizontal="justify"/>
    </xf>
    <xf numFmtId="49" fontId="7" fillId="0" borderId="0" xfId="0" applyNumberFormat="1" applyFont="1" applyFill="1" applyAlignment="1">
      <alignment horizontal="center" vertical="top"/>
    </xf>
    <xf numFmtId="2" fontId="10" fillId="0" borderId="0" xfId="0" applyNumberFormat="1" applyFont="1" applyFill="1">
      <alignment wrapText="1"/>
    </xf>
    <xf numFmtId="0" fontId="9" fillId="0" borderId="0" xfId="0" applyFont="1" applyFill="1" applyAlignment="1">
      <alignment vertical="top"/>
    </xf>
    <xf numFmtId="0" fontId="10" fillId="0" borderId="0" xfId="0" applyFont="1" applyFill="1" applyAlignment="1">
      <alignment horizontal="center"/>
    </xf>
    <xf numFmtId="4" fontId="10" fillId="0" borderId="0" xfId="0" applyNumberFormat="1" applyFont="1" applyFill="1">
      <alignment wrapText="1"/>
    </xf>
    <xf numFmtId="4" fontId="9" fillId="0" borderId="0" xfId="13" applyNumberFormat="1" applyFont="1" applyFill="1" applyAlignment="1" applyProtection="1">
      <alignment horizontal="justify" vertical="top"/>
    </xf>
    <xf numFmtId="0" fontId="10" fillId="0" borderId="0" xfId="0" applyFont="1" applyFill="1" applyAlignment="1" applyProtection="1">
      <alignment horizontal="left"/>
    </xf>
    <xf numFmtId="0" fontId="6" fillId="0" borderId="0" xfId="0" applyFont="1" applyFill="1" applyAlignment="1" applyProtection="1">
      <alignment horizontal="center" wrapText="1"/>
    </xf>
    <xf numFmtId="0" fontId="46" fillId="0" borderId="0" xfId="0" applyFont="1" applyFill="1" applyAlignment="1" applyProtection="1">
      <alignment horizontal="left"/>
    </xf>
    <xf numFmtId="0" fontId="40" fillId="0" borderId="0" xfId="0" applyFont="1" applyFill="1" applyAlignment="1" applyProtection="1">
      <alignment horizontal="center" wrapText="1"/>
    </xf>
    <xf numFmtId="0" fontId="10" fillId="0" borderId="2" xfId="0" applyFont="1" applyFill="1" applyBorder="1" applyAlignment="1" applyProtection="1">
      <alignment horizontal="left"/>
    </xf>
    <xf numFmtId="0" fontId="43" fillId="0" borderId="0" xfId="0" applyFont="1" applyFill="1" applyAlignment="1" applyProtection="1">
      <alignment horizontal="justify" vertical="top" wrapText="1"/>
    </xf>
    <xf numFmtId="0" fontId="43" fillId="0" borderId="0" xfId="0" applyFont="1" applyFill="1" applyAlignment="1" applyProtection="1">
      <alignment vertical="top" wrapText="1"/>
    </xf>
    <xf numFmtId="0" fontId="40" fillId="0" borderId="0" xfId="0" applyFont="1" applyFill="1" applyAlignment="1">
      <alignment horizontal="justify" vertical="top" wrapText="1"/>
    </xf>
    <xf numFmtId="0" fontId="43" fillId="0" borderId="0" xfId="0" applyFont="1" applyFill="1" applyAlignment="1">
      <alignment horizontal="left" wrapText="1"/>
    </xf>
    <xf numFmtId="0" fontId="45" fillId="0" borderId="0" xfId="0" applyFont="1" applyFill="1" applyAlignment="1">
      <alignment horizontal="left" wrapText="1"/>
    </xf>
    <xf numFmtId="165" fontId="41" fillId="0" borderId="0" xfId="0" applyNumberFormat="1" applyFont="1" applyFill="1" applyAlignment="1">
      <alignment horizontal="justify" vertical="top" wrapText="1"/>
    </xf>
    <xf numFmtId="0" fontId="41" fillId="0" borderId="0" xfId="0" quotePrefix="1" applyFont="1" applyFill="1" applyAlignment="1">
      <alignment horizontal="justify" vertical="top" wrapText="1"/>
    </xf>
    <xf numFmtId="0" fontId="41" fillId="0" borderId="0" xfId="0" quotePrefix="1" applyFont="1" applyAlignment="1">
      <alignment horizontal="justify" vertical="top" wrapText="1"/>
    </xf>
    <xf numFmtId="165" fontId="41" fillId="0" borderId="0" xfId="0" applyNumberFormat="1" applyFont="1" applyFill="1" applyAlignment="1">
      <alignment vertical="top" wrapText="1"/>
    </xf>
    <xf numFmtId="165" fontId="41" fillId="0" borderId="0" xfId="0" quotePrefix="1" applyNumberFormat="1" applyFont="1" applyFill="1" applyAlignment="1">
      <alignment vertical="top" wrapText="1"/>
    </xf>
    <xf numFmtId="165" fontId="41" fillId="0" borderId="0" xfId="0" quotePrefix="1" applyNumberFormat="1" applyFont="1" applyFill="1" applyAlignment="1">
      <alignment horizontal="justify" vertical="top" wrapText="1"/>
    </xf>
    <xf numFmtId="0" fontId="41" fillId="0" borderId="0" xfId="0" applyFont="1" applyAlignment="1">
      <alignment horizontal="justify" vertical="top" wrapText="1"/>
    </xf>
    <xf numFmtId="0" fontId="47" fillId="0" borderId="0" xfId="0" applyFont="1" applyAlignment="1">
      <alignment horizontal="justify" vertical="top" wrapText="1"/>
    </xf>
    <xf numFmtId="0" fontId="44" fillId="0" borderId="0" xfId="0" applyFont="1" applyFill="1" applyAlignment="1" applyProtection="1">
      <alignment horizontal="left" wrapText="1"/>
    </xf>
    <xf numFmtId="165" fontId="43" fillId="0" borderId="0" xfId="0" applyNumberFormat="1" applyFont="1" applyFill="1" applyAlignment="1" applyProtection="1">
      <alignment horizontal="justify" vertical="top" wrapText="1"/>
    </xf>
    <xf numFmtId="0" fontId="0" fillId="0" borderId="0" xfId="0" applyAlignment="1">
      <alignment wrapText="1"/>
    </xf>
    <xf numFmtId="0" fontId="43" fillId="0" borderId="0" xfId="0" applyFont="1" applyFill="1" applyAlignment="1" applyProtection="1">
      <alignment horizontal="right" vertical="top" wrapText="1"/>
    </xf>
    <xf numFmtId="0" fontId="43" fillId="0" borderId="0" xfId="0" applyFont="1" applyFill="1" applyAlignment="1" applyProtection="1">
      <alignment horizontal="left" vertical="top" wrapText="1"/>
    </xf>
    <xf numFmtId="164" fontId="43" fillId="0" borderId="0" xfId="4" applyFont="1" applyFill="1" applyBorder="1" applyAlignment="1" applyProtection="1">
      <alignment vertical="top" wrapText="1"/>
      <protection locked="0"/>
    </xf>
    <xf numFmtId="164" fontId="43" fillId="0" borderId="0" xfId="4" applyFont="1" applyFill="1" applyBorder="1" applyAlignment="1" applyProtection="1">
      <alignment vertical="top" wrapText="1"/>
    </xf>
    <xf numFmtId="0" fontId="44" fillId="0" borderId="0" xfId="0" applyFont="1" applyFill="1" applyAlignment="1" applyProtection="1">
      <alignment horizontal="right" vertical="top" wrapText="1"/>
    </xf>
    <xf numFmtId="0" fontId="43" fillId="0" borderId="0" xfId="0" applyFont="1" applyFill="1" applyAlignment="1" applyProtection="1">
      <alignment horizontal="left" wrapText="1"/>
    </xf>
    <xf numFmtId="2" fontId="43" fillId="0" borderId="0" xfId="4" applyNumberFormat="1" applyFont="1" applyFill="1" applyBorder="1" applyAlignment="1" applyProtection="1">
      <alignment horizontal="right" wrapText="1"/>
      <protection locked="0"/>
    </xf>
    <xf numFmtId="0" fontId="43" fillId="0" borderId="0" xfId="0" applyFont="1" applyFill="1" applyAlignment="1" applyProtection="1">
      <alignment horizontal="right" wrapText="1"/>
    </xf>
    <xf numFmtId="2" fontId="43" fillId="0" borderId="0" xfId="4" applyNumberFormat="1" applyFont="1" applyFill="1" applyBorder="1" applyAlignment="1" applyProtection="1">
      <alignment horizontal="right" wrapText="1"/>
    </xf>
    <xf numFmtId="164" fontId="43" fillId="0" borderId="0" xfId="4" applyFont="1" applyFill="1" applyBorder="1" applyAlignment="1" applyProtection="1">
      <alignment horizontal="right" wrapText="1"/>
      <protection locked="0"/>
    </xf>
    <xf numFmtId="0" fontId="43" fillId="0" borderId="0" xfId="0" applyFont="1" applyAlignment="1" applyProtection="1">
      <alignment vertical="top" wrapText="1"/>
    </xf>
    <xf numFmtId="0" fontId="43" fillId="0" borderId="0" xfId="0" applyFont="1" applyAlignment="1" applyProtection="1">
      <alignment horizontal="justify" wrapText="1"/>
    </xf>
    <xf numFmtId="2" fontId="43" fillId="0" borderId="0" xfId="0" applyNumberFormat="1" applyFont="1" applyAlignment="1" applyProtection="1">
      <alignment horizontal="left" wrapText="1"/>
    </xf>
    <xf numFmtId="0" fontId="43" fillId="0" borderId="0" xfId="0" applyFont="1" applyAlignment="1" applyProtection="1">
      <alignment horizontal="left" wrapText="1"/>
    </xf>
    <xf numFmtId="4" fontId="43" fillId="0" borderId="0" xfId="0" applyNumberFormat="1" applyFont="1" applyAlignment="1" applyProtection="1">
      <alignment wrapText="1"/>
      <protection locked="0"/>
    </xf>
    <xf numFmtId="0" fontId="43" fillId="0" borderId="0" xfId="0" applyFont="1" applyAlignment="1" applyProtection="1">
      <alignment horizontal="center" wrapText="1"/>
    </xf>
    <xf numFmtId="4" fontId="43" fillId="0" borderId="0" xfId="0" applyNumberFormat="1" applyFont="1" applyAlignment="1" applyProtection="1">
      <alignment wrapText="1"/>
    </xf>
    <xf numFmtId="4" fontId="43" fillId="0" borderId="0" xfId="0" applyNumberFormat="1" applyFont="1" applyAlignment="1" applyProtection="1">
      <alignment horizontal="center" wrapText="1"/>
    </xf>
    <xf numFmtId="2" fontId="43" fillId="0" borderId="0" xfId="0" applyNumberFormat="1" applyFont="1" applyAlignment="1" applyProtection="1">
      <alignment horizontal="center" wrapText="1"/>
    </xf>
    <xf numFmtId="4" fontId="43" fillId="0" borderId="0" xfId="0" applyNumberFormat="1" applyFont="1" applyFill="1" applyAlignment="1" applyProtection="1">
      <alignment horizontal="center" wrapText="1"/>
    </xf>
    <xf numFmtId="4" fontId="43" fillId="0" borderId="0" xfId="4" applyNumberFormat="1" applyFont="1" applyFill="1" applyBorder="1" applyAlignment="1" applyProtection="1">
      <alignment horizontal="right" wrapText="1"/>
    </xf>
    <xf numFmtId="2" fontId="43" fillId="0" borderId="0" xfId="4" applyNumberFormat="1" applyFont="1" applyFill="1" applyBorder="1" applyAlignment="1" applyProtection="1">
      <alignment horizontal="right" vertical="top" wrapText="1"/>
      <protection locked="0"/>
    </xf>
    <xf numFmtId="2" fontId="43" fillId="0" borderId="0" xfId="4" applyNumberFormat="1" applyFont="1" applyFill="1" applyBorder="1" applyAlignment="1" applyProtection="1">
      <alignment horizontal="right" vertical="top" wrapText="1"/>
    </xf>
    <xf numFmtId="0" fontId="43" fillId="0" borderId="0" xfId="0" applyFont="1" applyFill="1" applyBorder="1" applyAlignment="1" applyProtection="1">
      <alignment horizontal="right" vertical="top" wrapText="1"/>
    </xf>
    <xf numFmtId="0" fontId="43" fillId="0" borderId="0" xfId="0" applyFont="1" applyFill="1" applyBorder="1" applyAlignment="1" applyProtection="1">
      <alignment horizontal="left" wrapText="1"/>
    </xf>
    <xf numFmtId="0" fontId="43" fillId="0" borderId="0" xfId="0" applyFont="1" applyFill="1" applyAlignment="1" applyProtection="1">
      <alignment horizontal="justify" wrapText="1"/>
    </xf>
    <xf numFmtId="49" fontId="43" fillId="0" borderId="0" xfId="0" applyNumberFormat="1" applyFont="1" applyFill="1" applyAlignment="1" applyProtection="1">
      <alignment horizontal="center" wrapText="1"/>
    </xf>
    <xf numFmtId="0" fontId="40" fillId="0" borderId="0" xfId="0" applyFont="1" applyFill="1" applyAlignment="1">
      <alignment horizontal="left" wrapText="1"/>
    </xf>
    <xf numFmtId="0" fontId="40" fillId="0" borderId="0" xfId="0" applyFont="1" applyFill="1" applyAlignment="1">
      <alignment horizontal="right" wrapText="1"/>
    </xf>
    <xf numFmtId="0" fontId="42" fillId="0" borderId="0" xfId="0" applyFont="1" applyFill="1" applyAlignment="1">
      <alignment vertical="top" wrapText="1"/>
    </xf>
    <xf numFmtId="49" fontId="40" fillId="0" borderId="0" xfId="0" applyNumberFormat="1" applyFont="1" applyFill="1" applyAlignment="1">
      <alignment horizontal="center" wrapText="1"/>
    </xf>
    <xf numFmtId="4" fontId="40" fillId="0" borderId="0" xfId="0" applyNumberFormat="1" applyFont="1" applyAlignment="1">
      <alignment wrapText="1"/>
    </xf>
    <xf numFmtId="0" fontId="40" fillId="0" borderId="0" xfId="11" applyFont="1" applyFill="1" applyAlignment="1">
      <alignment horizontal="left" vertical="top" wrapText="1"/>
    </xf>
    <xf numFmtId="43" fontId="40" fillId="0" borderId="0" xfId="6" applyFont="1" applyFill="1" applyAlignment="1" applyProtection="1">
      <alignment horizontal="right" vertical="top" wrapText="1"/>
      <protection locked="0"/>
    </xf>
    <xf numFmtId="0" fontId="40" fillId="0" borderId="0" xfId="11" applyFont="1" applyFill="1" applyAlignment="1">
      <alignment horizontal="right" vertical="top" wrapText="1"/>
    </xf>
    <xf numFmtId="4" fontId="40" fillId="0" borderId="0" xfId="6" applyNumberFormat="1" applyFont="1" applyFill="1" applyAlignment="1">
      <alignment horizontal="right" vertical="top" wrapText="1"/>
    </xf>
    <xf numFmtId="0" fontId="42" fillId="0" borderId="0" xfId="11" applyFont="1" applyFill="1" applyAlignment="1">
      <alignment vertical="top" wrapText="1"/>
    </xf>
    <xf numFmtId="0" fontId="40" fillId="0" borderId="0" xfId="11" applyFont="1" applyFill="1" applyBorder="1" applyAlignment="1">
      <alignment wrapText="1"/>
    </xf>
    <xf numFmtId="164" fontId="40" fillId="0" borderId="0" xfId="4" applyFont="1" applyFill="1" applyBorder="1" applyAlignment="1" applyProtection="1">
      <alignment horizontal="right" wrapText="1"/>
      <protection locked="0"/>
    </xf>
    <xf numFmtId="0" fontId="43" fillId="0" borderId="0" xfId="0" applyFont="1" applyFill="1" applyBorder="1" applyAlignment="1" applyProtection="1">
      <alignment horizontal="justify" wrapText="1"/>
    </xf>
    <xf numFmtId="0" fontId="43" fillId="0" borderId="0" xfId="0" applyFont="1" applyFill="1" applyBorder="1" applyAlignment="1" applyProtection="1">
      <alignment horizontal="right" wrapText="1"/>
    </xf>
    <xf numFmtId="0" fontId="44" fillId="0" borderId="0" xfId="0" applyFont="1" applyFill="1" applyAlignment="1" applyProtection="1">
      <alignment horizontal="right" wrapText="1"/>
    </xf>
    <xf numFmtId="0" fontId="44" fillId="0" borderId="0" xfId="0" applyFont="1" applyFill="1" applyBorder="1" applyAlignment="1" applyProtection="1">
      <alignment horizontal="left" wrapText="1"/>
    </xf>
    <xf numFmtId="2" fontId="44" fillId="0" borderId="0" xfId="4" applyNumberFormat="1" applyFont="1" applyFill="1" applyBorder="1" applyAlignment="1" applyProtection="1">
      <alignment horizontal="right" wrapText="1"/>
      <protection locked="0"/>
    </xf>
    <xf numFmtId="0" fontId="44" fillId="0" borderId="0" xfId="0" applyFont="1" applyFill="1" applyBorder="1" applyAlignment="1" applyProtection="1">
      <alignment horizontal="right" wrapText="1"/>
    </xf>
    <xf numFmtId="2" fontId="44" fillId="0" borderId="0" xfId="4" applyNumberFormat="1" applyFont="1" applyFill="1" applyBorder="1" applyAlignment="1" applyProtection="1">
      <alignment horizontal="right" wrapText="1"/>
    </xf>
    <xf numFmtId="0" fontId="43" fillId="0" borderId="1" xfId="0" applyFont="1" applyFill="1" applyBorder="1" applyAlignment="1" applyProtection="1">
      <alignment horizontal="right" vertical="top" wrapText="1"/>
    </xf>
    <xf numFmtId="2" fontId="40" fillId="0" borderId="0" xfId="0" applyNumberFormat="1" applyFont="1" applyFill="1" applyAlignment="1">
      <alignment horizontal="justify" vertical="top" wrapText="1"/>
    </xf>
    <xf numFmtId="0" fontId="43" fillId="0" borderId="0" xfId="0" applyFont="1" applyAlignment="1">
      <alignment horizontal="center" wrapText="1"/>
    </xf>
    <xf numFmtId="0" fontId="43" fillId="0" borderId="0" xfId="0" applyFont="1" applyAlignment="1">
      <alignment horizontal="justify" vertical="top" wrapText="1"/>
    </xf>
    <xf numFmtId="0" fontId="43" fillId="0" borderId="0" xfId="0" applyFont="1" applyAlignment="1">
      <alignment wrapText="1"/>
    </xf>
    <xf numFmtId="0" fontId="43" fillId="0" borderId="0" xfId="0" applyFont="1" applyFill="1" applyAlignment="1">
      <alignment horizontal="right" vertical="top" wrapText="1"/>
    </xf>
    <xf numFmtId="4" fontId="40" fillId="0" borderId="0" xfId="4" applyNumberFormat="1" applyFont="1" applyFill="1" applyBorder="1" applyAlignment="1" applyProtection="1">
      <alignment horizontal="right" wrapText="1"/>
    </xf>
    <xf numFmtId="2" fontId="43" fillId="0" borderId="0" xfId="4" applyNumberFormat="1" applyFont="1" applyFill="1" applyAlignment="1">
      <alignment horizontal="right" wrapText="1"/>
    </xf>
    <xf numFmtId="2" fontId="46" fillId="0" borderId="0" xfId="4" applyNumberFormat="1" applyFont="1" applyFill="1" applyBorder="1" applyAlignment="1" applyProtection="1">
      <alignment horizontal="right" wrapText="1"/>
    </xf>
    <xf numFmtId="0" fontId="40" fillId="0" borderId="0" xfId="0" applyFont="1" applyFill="1" applyAlignment="1">
      <alignment horizontal="left" vertical="top" wrapText="1"/>
    </xf>
    <xf numFmtId="0" fontId="43" fillId="0" borderId="0" xfId="0" applyFont="1" applyAlignment="1">
      <alignment horizontal="justify" wrapText="1"/>
    </xf>
    <xf numFmtId="0" fontId="43" fillId="0" borderId="0" xfId="0" applyFont="1" applyAlignment="1">
      <alignment horizontal="left" wrapText="1"/>
    </xf>
    <xf numFmtId="4" fontId="43" fillId="0" borderId="0" xfId="0" applyNumberFormat="1" applyFont="1" applyAlignment="1">
      <alignment wrapText="1"/>
    </xf>
    <xf numFmtId="0" fontId="43" fillId="0" borderId="0" xfId="0" applyFont="1" applyFill="1" applyAlignment="1">
      <alignment horizontal="justify" vertical="top" wrapText="1"/>
    </xf>
    <xf numFmtId="2" fontId="43" fillId="0" borderId="0" xfId="0" applyNumberFormat="1" applyFont="1" applyAlignment="1">
      <alignment horizontal="center" wrapText="1"/>
    </xf>
    <xf numFmtId="0" fontId="43" fillId="0" borderId="0" xfId="0" applyFont="1" applyFill="1" applyAlignment="1">
      <alignment horizontal="justify" wrapText="1"/>
    </xf>
    <xf numFmtId="0" fontId="43" fillId="0" borderId="0" xfId="0" applyFont="1" applyFill="1" applyAlignment="1">
      <alignment horizontal="left" vertical="top" wrapText="1"/>
    </xf>
    <xf numFmtId="4" fontId="46" fillId="0" borderId="0" xfId="4" applyNumberFormat="1" applyFont="1" applyFill="1" applyBorder="1" applyAlignment="1" applyProtection="1">
      <alignment horizontal="right" wrapText="1"/>
    </xf>
    <xf numFmtId="0" fontId="46" fillId="0" borderId="0" xfId="0" applyFont="1" applyFill="1" applyAlignment="1">
      <alignment horizontal="right" wrapText="1"/>
    </xf>
    <xf numFmtId="0" fontId="45" fillId="0" borderId="0" xfId="0" applyFont="1" applyFill="1" applyAlignment="1">
      <alignment horizontal="right" vertical="top" wrapText="1"/>
    </xf>
    <xf numFmtId="0" fontId="46" fillId="0" borderId="0" xfId="0" applyFont="1" applyFill="1" applyAlignment="1">
      <alignment horizontal="justify" wrapText="1"/>
    </xf>
    <xf numFmtId="0" fontId="46" fillId="0" borderId="0" xfId="0" applyFont="1" applyFill="1" applyAlignment="1">
      <alignment horizontal="left" wrapText="1"/>
    </xf>
    <xf numFmtId="0" fontId="43" fillId="0" borderId="0" xfId="0" applyFont="1" applyAlignment="1">
      <alignment horizontal="center" vertical="top" wrapText="1"/>
    </xf>
    <xf numFmtId="0" fontId="43" fillId="0" borderId="0" xfId="0" applyFont="1" applyAlignment="1">
      <alignment vertical="top" wrapText="1"/>
    </xf>
    <xf numFmtId="0" fontId="44" fillId="0" borderId="0" xfId="0" applyFont="1" applyFill="1" applyAlignment="1">
      <alignment horizontal="justify" wrapText="1"/>
    </xf>
    <xf numFmtId="2" fontId="46" fillId="0" borderId="0" xfId="4" applyNumberFormat="1" applyFont="1" applyFill="1" applyBorder="1" applyAlignment="1" applyProtection="1">
      <alignment horizontal="right" wrapText="1"/>
      <protection locked="0"/>
    </xf>
    <xf numFmtId="0" fontId="43" fillId="0" borderId="2" xfId="0" applyFont="1" applyBorder="1" applyAlignment="1">
      <alignment horizontal="center" vertical="top" wrapText="1"/>
    </xf>
    <xf numFmtId="0" fontId="43" fillId="0" borderId="2" xfId="0" applyFont="1" applyBorder="1" applyAlignment="1">
      <alignment horizontal="center" wrapText="1"/>
    </xf>
    <xf numFmtId="0" fontId="43" fillId="0" borderId="2" xfId="0" quotePrefix="1" applyFont="1" applyBorder="1" applyAlignment="1">
      <alignment horizontal="justify" vertical="top" wrapText="1"/>
    </xf>
    <xf numFmtId="0" fontId="43" fillId="0" borderId="2" xfId="0" applyFont="1" applyBorder="1" applyAlignment="1" applyProtection="1">
      <alignment wrapText="1"/>
      <protection locked="0"/>
    </xf>
    <xf numFmtId="0" fontId="43" fillId="0" borderId="2" xfId="0" applyFont="1" applyBorder="1" applyAlignment="1">
      <alignment wrapText="1"/>
    </xf>
    <xf numFmtId="0" fontId="45" fillId="0" borderId="0" xfId="0" applyFont="1" applyFill="1" applyAlignment="1">
      <alignment horizontal="justify" wrapText="1"/>
    </xf>
    <xf numFmtId="2" fontId="45" fillId="0" borderId="0" xfId="4" applyNumberFormat="1" applyFont="1" applyFill="1" applyBorder="1" applyAlignment="1" applyProtection="1">
      <alignment horizontal="right" wrapText="1"/>
      <protection locked="0"/>
    </xf>
    <xf numFmtId="0" fontId="45" fillId="0" borderId="0" xfId="0" applyFont="1" applyFill="1" applyAlignment="1">
      <alignment horizontal="right" wrapText="1"/>
    </xf>
    <xf numFmtId="2" fontId="45" fillId="0" borderId="0" xfId="4" applyNumberFormat="1" applyFont="1" applyFill="1" applyBorder="1" applyAlignment="1" applyProtection="1">
      <alignment horizontal="right" wrapText="1"/>
    </xf>
    <xf numFmtId="0" fontId="45" fillId="0" borderId="1" xfId="0" applyFont="1" applyFill="1" applyBorder="1" applyAlignment="1">
      <alignment horizontal="right" vertical="top" wrapText="1"/>
    </xf>
    <xf numFmtId="0" fontId="46" fillId="0" borderId="1" xfId="0" applyFont="1" applyFill="1" applyBorder="1" applyAlignment="1">
      <alignment horizontal="left" wrapText="1"/>
    </xf>
    <xf numFmtId="0" fontId="46" fillId="0" borderId="1" xfId="0" applyFont="1" applyFill="1" applyBorder="1" applyAlignment="1">
      <alignment horizontal="justify" wrapText="1"/>
    </xf>
    <xf numFmtId="2" fontId="46" fillId="0" borderId="1" xfId="4" applyNumberFormat="1" applyFont="1" applyFill="1" applyBorder="1" applyAlignment="1" applyProtection="1">
      <alignment horizontal="right" wrapText="1"/>
      <protection locked="0"/>
    </xf>
    <xf numFmtId="0" fontId="46" fillId="0" borderId="1" xfId="0" applyFont="1" applyFill="1" applyBorder="1" applyAlignment="1">
      <alignment horizontal="right" wrapText="1"/>
    </xf>
    <xf numFmtId="2" fontId="46" fillId="0" borderId="1" xfId="4" applyNumberFormat="1" applyFont="1" applyFill="1" applyBorder="1" applyAlignment="1" applyProtection="1">
      <alignment horizontal="right" wrapText="1"/>
    </xf>
    <xf numFmtId="0" fontId="45" fillId="0" borderId="0" xfId="0" applyFont="1" applyFill="1" applyBorder="1" applyAlignment="1">
      <alignment horizontal="right" vertical="top" wrapText="1"/>
    </xf>
    <xf numFmtId="0" fontId="46" fillId="0" borderId="0" xfId="0" applyFont="1" applyFill="1" applyBorder="1" applyAlignment="1">
      <alignment horizontal="left" wrapText="1"/>
    </xf>
    <xf numFmtId="0" fontId="46" fillId="0" borderId="0" xfId="0" applyFont="1" applyFill="1" applyBorder="1" applyAlignment="1">
      <alignment horizontal="justify" wrapText="1"/>
    </xf>
    <xf numFmtId="0" fontId="46" fillId="0" borderId="0" xfId="0" applyFont="1" applyFill="1" applyBorder="1" applyAlignment="1">
      <alignment horizontal="right" wrapText="1"/>
    </xf>
    <xf numFmtId="0" fontId="44" fillId="0" borderId="0" xfId="0" applyFont="1" applyFill="1" applyAlignment="1" applyProtection="1">
      <alignment horizontal="justify" wrapText="1"/>
    </xf>
    <xf numFmtId="0" fontId="44" fillId="0" borderId="0" xfId="0" applyFont="1" applyFill="1" applyAlignment="1" applyProtection="1">
      <alignment horizontal="left" vertical="top" wrapText="1"/>
    </xf>
    <xf numFmtId="0" fontId="45" fillId="0" borderId="0" xfId="0" applyFont="1" applyFill="1" applyAlignment="1" applyProtection="1">
      <alignment horizontal="right" vertical="top" wrapText="1"/>
    </xf>
    <xf numFmtId="0" fontId="46" fillId="0" borderId="0" xfId="0" applyFont="1" applyFill="1" applyAlignment="1" applyProtection="1">
      <alignment horizontal="left" vertical="top" wrapText="1"/>
    </xf>
    <xf numFmtId="2" fontId="46" fillId="0" borderId="0" xfId="4" applyNumberFormat="1" applyFont="1" applyFill="1" applyBorder="1" applyAlignment="1" applyProtection="1">
      <alignment horizontal="right" vertical="top" wrapText="1"/>
      <protection locked="0"/>
    </xf>
    <xf numFmtId="0" fontId="46" fillId="0" borderId="0" xfId="0" applyFont="1" applyFill="1" applyAlignment="1" applyProtection="1">
      <alignment horizontal="right" vertical="top" wrapText="1"/>
    </xf>
    <xf numFmtId="2" fontId="46" fillId="0" borderId="0" xfId="4" applyNumberFormat="1" applyFont="1" applyFill="1" applyBorder="1" applyAlignment="1" applyProtection="1">
      <alignment horizontal="right" vertical="top" wrapText="1"/>
    </xf>
    <xf numFmtId="0" fontId="45" fillId="0" borderId="0" xfId="0" applyFont="1" applyAlignment="1" applyProtection="1">
      <alignment vertical="top" wrapText="1"/>
    </xf>
    <xf numFmtId="0" fontId="46" fillId="0" borderId="0" xfId="0" applyFont="1" applyAlignment="1" applyProtection="1">
      <alignment horizontal="justify" wrapText="1"/>
    </xf>
    <xf numFmtId="0" fontId="46" fillId="0" borderId="0" xfId="0" applyFont="1" applyAlignment="1" applyProtection="1">
      <alignment horizontal="left" wrapText="1"/>
    </xf>
    <xf numFmtId="4" fontId="46" fillId="0" borderId="0" xfId="0" applyNumberFormat="1" applyFont="1" applyAlignment="1" applyProtection="1">
      <alignment wrapText="1"/>
      <protection locked="0"/>
    </xf>
    <xf numFmtId="0" fontId="46" fillId="0" borderId="0" xfId="0" applyFont="1" applyAlignment="1" applyProtection="1">
      <alignment horizontal="center" wrapText="1"/>
    </xf>
    <xf numFmtId="4" fontId="46" fillId="0" borderId="0" xfId="0" applyNumberFormat="1" applyFont="1" applyAlignment="1" applyProtection="1">
      <alignment wrapText="1"/>
    </xf>
    <xf numFmtId="2" fontId="43" fillId="0" borderId="0" xfId="0" applyNumberFormat="1" applyFont="1" applyBorder="1" applyAlignment="1" applyProtection="1">
      <alignment horizontal="left" wrapText="1"/>
    </xf>
    <xf numFmtId="2" fontId="43" fillId="0" borderId="2" xfId="0" applyNumberFormat="1" applyFont="1" applyBorder="1" applyAlignment="1" applyProtection="1">
      <alignment horizontal="left" wrapText="1"/>
    </xf>
    <xf numFmtId="43" fontId="43" fillId="0" borderId="0" xfId="4" applyNumberFormat="1" applyFont="1" applyFill="1" applyBorder="1" applyAlignment="1" applyProtection="1">
      <alignment vertical="top" wrapText="1"/>
      <protection locked="0"/>
    </xf>
    <xf numFmtId="43" fontId="43" fillId="0" borderId="0" xfId="4" applyNumberFormat="1" applyFont="1" applyFill="1" applyBorder="1" applyAlignment="1" applyProtection="1">
      <alignment vertical="top" wrapText="1"/>
    </xf>
    <xf numFmtId="49" fontId="43" fillId="0" borderId="0" xfId="0" applyNumberFormat="1" applyFont="1" applyFill="1" applyAlignment="1">
      <alignment horizontal="center" wrapText="1"/>
    </xf>
    <xf numFmtId="165" fontId="44" fillId="0" borderId="0" xfId="0" applyNumberFormat="1" applyFont="1" applyAlignment="1">
      <alignment horizontal="center" wrapText="1"/>
    </xf>
    <xf numFmtId="165" fontId="43" fillId="0" borderId="0" xfId="0" applyNumberFormat="1" applyFont="1" applyAlignment="1">
      <alignment horizontal="center" vertical="top" wrapText="1"/>
    </xf>
    <xf numFmtId="2" fontId="44" fillId="0" borderId="0" xfId="0" applyNumberFormat="1" applyFont="1" applyAlignment="1">
      <alignment horizontal="left" wrapText="1"/>
    </xf>
    <xf numFmtId="165" fontId="43" fillId="0" borderId="0" xfId="0" applyNumberFormat="1" applyFont="1" applyAlignment="1">
      <alignment horizontal="center" wrapText="1"/>
    </xf>
    <xf numFmtId="4" fontId="43" fillId="0" borderId="0" xfId="0" applyNumberFormat="1" applyFont="1" applyAlignment="1" applyProtection="1">
      <alignment horizontal="center" wrapText="1"/>
      <protection locked="0"/>
    </xf>
    <xf numFmtId="4" fontId="43" fillId="0" borderId="0" xfId="0" applyNumberFormat="1" applyFont="1" applyAlignment="1">
      <alignment horizontal="right" wrapText="1"/>
    </xf>
    <xf numFmtId="2" fontId="43" fillId="0" borderId="0" xfId="0" quotePrefix="1" applyNumberFormat="1" applyFont="1" applyAlignment="1">
      <alignment horizontal="left" wrapText="1"/>
    </xf>
    <xf numFmtId="0" fontId="43" fillId="0" borderId="0" xfId="0" applyFont="1" applyBorder="1" applyAlignment="1">
      <alignment horizontal="center" vertical="top" wrapText="1"/>
    </xf>
    <xf numFmtId="0" fontId="43" fillId="0" borderId="0" xfId="0" applyFont="1" applyBorder="1" applyAlignment="1">
      <alignment horizontal="center" wrapText="1"/>
    </xf>
    <xf numFmtId="0" fontId="43" fillId="0" borderId="0" xfId="0" quotePrefix="1" applyFont="1" applyBorder="1" applyAlignment="1">
      <alignment horizontal="justify" vertical="top" wrapText="1"/>
    </xf>
    <xf numFmtId="0" fontId="43" fillId="0" borderId="0" xfId="0" applyFont="1" applyBorder="1" applyAlignment="1" applyProtection="1">
      <alignment wrapText="1"/>
      <protection locked="0"/>
    </xf>
    <xf numFmtId="0" fontId="43" fillId="0" borderId="0" xfId="0" applyFont="1" applyBorder="1" applyAlignment="1">
      <alignment wrapText="1"/>
    </xf>
    <xf numFmtId="165" fontId="40" fillId="0" borderId="0" xfId="0" applyNumberFormat="1" applyFont="1" applyFill="1" applyAlignment="1">
      <alignment horizontal="center" vertical="top" wrapText="1"/>
    </xf>
    <xf numFmtId="165" fontId="43" fillId="0" borderId="0" xfId="0" applyNumberFormat="1" applyFont="1" applyFill="1" applyAlignment="1">
      <alignment horizontal="center" vertical="top" wrapText="1"/>
    </xf>
    <xf numFmtId="165" fontId="43" fillId="0" borderId="0" xfId="0" applyNumberFormat="1" applyFont="1" applyFill="1" applyAlignment="1">
      <alignment horizontal="justify" vertical="top" wrapText="1"/>
    </xf>
    <xf numFmtId="165" fontId="43" fillId="0" borderId="0" xfId="0" applyNumberFormat="1" applyFont="1" applyFill="1" applyAlignment="1">
      <alignment horizontal="center" wrapText="1"/>
    </xf>
    <xf numFmtId="165" fontId="43" fillId="0" borderId="0" xfId="0" applyNumberFormat="1" applyFont="1" applyFill="1" applyAlignment="1" applyProtection="1">
      <alignment wrapText="1"/>
      <protection locked="0"/>
    </xf>
    <xf numFmtId="165" fontId="43" fillId="0" borderId="0" xfId="0" applyNumberFormat="1" applyFont="1" applyAlignment="1">
      <alignment wrapText="1"/>
    </xf>
    <xf numFmtId="165" fontId="43" fillId="0" borderId="0" xfId="0" applyNumberFormat="1" applyFont="1" applyFill="1" applyAlignment="1">
      <alignment wrapText="1"/>
    </xf>
    <xf numFmtId="165" fontId="43" fillId="0" borderId="0" xfId="0" applyNumberFormat="1" applyFont="1" applyFill="1" applyAlignment="1" applyProtection="1">
      <alignment horizontal="center" wrapText="1"/>
      <protection locked="0"/>
    </xf>
    <xf numFmtId="165" fontId="46" fillId="0" borderId="0" xfId="0" applyNumberFormat="1" applyFont="1" applyFill="1" applyAlignment="1">
      <alignment horizontal="center" wrapText="1"/>
    </xf>
    <xf numFmtId="165" fontId="46" fillId="0" borderId="0" xfId="0" applyNumberFormat="1" applyFont="1" applyFill="1" applyAlignment="1">
      <alignment horizontal="center" vertical="top" wrapText="1"/>
    </xf>
    <xf numFmtId="165" fontId="46" fillId="0" borderId="0" xfId="0" applyNumberFormat="1" applyFont="1" applyFill="1" applyAlignment="1" applyProtection="1">
      <alignment horizontal="center" wrapText="1"/>
      <protection locked="0"/>
    </xf>
    <xf numFmtId="165" fontId="46" fillId="0" borderId="0" xfId="0" applyNumberFormat="1" applyFont="1" applyAlignment="1">
      <alignment wrapText="1"/>
    </xf>
    <xf numFmtId="0" fontId="43" fillId="0" borderId="0" xfId="0" applyFont="1" applyFill="1" applyAlignment="1">
      <alignment horizontal="center" vertical="top" wrapText="1"/>
    </xf>
    <xf numFmtId="0" fontId="44" fillId="0" borderId="0" xfId="0" applyFont="1" applyFill="1" applyAlignment="1">
      <alignment horizontal="center" vertical="top" wrapText="1"/>
    </xf>
    <xf numFmtId="2" fontId="43" fillId="0" borderId="0" xfId="0" applyNumberFormat="1" applyFont="1" applyFill="1" applyAlignment="1">
      <alignment horizontal="justify" vertical="top" wrapText="1"/>
    </xf>
    <xf numFmtId="2" fontId="44" fillId="0" borderId="0" xfId="0" applyNumberFormat="1" applyFont="1" applyFill="1" applyAlignment="1">
      <alignment horizontal="justify" vertical="top" wrapText="1"/>
    </xf>
    <xf numFmtId="49" fontId="40" fillId="0" borderId="0" xfId="0" applyNumberFormat="1" applyFont="1" applyFill="1" applyAlignment="1">
      <alignment horizontal="center" vertical="top" wrapText="1"/>
    </xf>
    <xf numFmtId="2" fontId="52" fillId="0" borderId="0" xfId="0" applyNumberFormat="1" applyFont="1" applyFill="1" applyAlignment="1">
      <alignment horizontal="justify" vertical="top" wrapText="1"/>
    </xf>
    <xf numFmtId="0" fontId="48" fillId="0" borderId="0" xfId="0" applyFont="1" applyFill="1" applyAlignment="1" applyProtection="1">
      <alignment horizontal="center" vertical="top" wrapText="1"/>
    </xf>
    <xf numFmtId="0" fontId="48" fillId="0" borderId="0" xfId="0" applyFont="1" applyFill="1" applyAlignment="1" applyProtection="1">
      <alignment vertical="top" wrapText="1"/>
    </xf>
    <xf numFmtId="0" fontId="49" fillId="0" borderId="0" xfId="0" applyFont="1" applyFill="1" applyAlignment="1" applyProtection="1">
      <alignment horizontal="justify" vertical="top" wrapText="1"/>
    </xf>
    <xf numFmtId="4" fontId="48" fillId="0" borderId="0" xfId="4" applyNumberFormat="1" applyFont="1" applyFill="1" applyAlignment="1" applyProtection="1">
      <alignment vertical="top" wrapText="1"/>
      <protection locked="0"/>
    </xf>
    <xf numFmtId="4" fontId="48" fillId="0" borderId="0" xfId="4" applyNumberFormat="1" applyFont="1" applyFill="1" applyAlignment="1" applyProtection="1">
      <alignment vertical="top" wrapText="1"/>
    </xf>
    <xf numFmtId="0" fontId="43" fillId="0" borderId="0" xfId="0" applyFont="1" applyFill="1" applyAlignment="1" applyProtection="1">
      <alignment horizontal="center" vertical="top" wrapText="1"/>
    </xf>
    <xf numFmtId="0" fontId="40" fillId="0" borderId="0" xfId="0" applyFont="1" applyAlignment="1" applyProtection="1">
      <alignment wrapText="1"/>
    </xf>
    <xf numFmtId="4" fontId="43" fillId="0" borderId="0" xfId="4" applyNumberFormat="1" applyFont="1" applyFill="1" applyAlignment="1" applyProtection="1">
      <alignment horizontal="right" wrapText="1"/>
      <protection locked="0"/>
    </xf>
    <xf numFmtId="0" fontId="43" fillId="0" borderId="0" xfId="0" applyFont="1" applyFill="1" applyAlignment="1" applyProtection="1">
      <alignment horizontal="center" wrapText="1"/>
    </xf>
    <xf numFmtId="4" fontId="43" fillId="0" borderId="0" xfId="4" applyNumberFormat="1" applyFont="1" applyFill="1" applyAlignment="1" applyProtection="1">
      <alignment horizontal="right" wrapText="1"/>
    </xf>
    <xf numFmtId="165" fontId="44" fillId="0" borderId="0" xfId="0" applyNumberFormat="1" applyFont="1" applyBorder="1" applyAlignment="1">
      <alignment horizontal="center" wrapText="1"/>
    </xf>
    <xf numFmtId="165" fontId="43" fillId="0" borderId="0" xfId="0" applyNumberFormat="1" applyFont="1" applyBorder="1" applyAlignment="1">
      <alignment horizontal="center" vertical="top" wrapText="1"/>
    </xf>
    <xf numFmtId="2" fontId="43" fillId="0" borderId="0" xfId="0" quotePrefix="1" applyNumberFormat="1" applyFont="1" applyBorder="1" applyAlignment="1">
      <alignment horizontal="left" wrapText="1"/>
    </xf>
    <xf numFmtId="165" fontId="43" fillId="0" borderId="0" xfId="0" applyNumberFormat="1" applyFont="1" applyBorder="1" applyAlignment="1">
      <alignment horizontal="center" wrapText="1"/>
    </xf>
    <xf numFmtId="4" fontId="43" fillId="0" borderId="0" xfId="0" applyNumberFormat="1" applyFont="1" applyBorder="1" applyAlignment="1" applyProtection="1">
      <alignment horizontal="center" wrapText="1"/>
      <protection locked="0"/>
    </xf>
    <xf numFmtId="4" fontId="43" fillId="0" borderId="0" xfId="0" applyNumberFormat="1" applyFont="1" applyBorder="1" applyAlignment="1">
      <alignment horizontal="right" wrapText="1"/>
    </xf>
    <xf numFmtId="4" fontId="43" fillId="0" borderId="0" xfId="13" applyNumberFormat="1" applyFont="1" applyAlignment="1">
      <alignment horizontal="justify" vertical="top" wrapText="1"/>
    </xf>
    <xf numFmtId="16" fontId="43" fillId="0" borderId="0" xfId="0" applyNumberFormat="1" applyFont="1" applyFill="1" applyAlignment="1">
      <alignment horizontal="right" vertical="top" wrapText="1"/>
    </xf>
    <xf numFmtId="0" fontId="43" fillId="0" borderId="0" xfId="0" applyFont="1" applyFill="1" applyAlignment="1">
      <alignment wrapText="1"/>
    </xf>
    <xf numFmtId="0" fontId="45" fillId="0" borderId="0" xfId="0" applyFont="1" applyFill="1" applyAlignment="1">
      <alignment horizontal="left" vertical="top" wrapText="1"/>
    </xf>
    <xf numFmtId="0" fontId="45" fillId="0" borderId="0" xfId="0" applyFont="1" applyFill="1" applyAlignment="1">
      <alignment wrapText="1"/>
    </xf>
    <xf numFmtId="0" fontId="53" fillId="0" borderId="0" xfId="0" applyFont="1" applyFill="1" applyBorder="1" applyAlignment="1">
      <alignment horizontal="right" vertical="top" wrapText="1"/>
    </xf>
    <xf numFmtId="0" fontId="54" fillId="0" borderId="0" xfId="0" applyFont="1" applyFill="1" applyBorder="1" applyAlignment="1">
      <alignment horizontal="left" wrapText="1"/>
    </xf>
    <xf numFmtId="0" fontId="54" fillId="0" borderId="0" xfId="0" applyFont="1" applyFill="1" applyBorder="1" applyAlignment="1">
      <alignment horizontal="justify" wrapText="1"/>
    </xf>
    <xf numFmtId="2" fontId="54" fillId="0" borderId="0" xfId="4" applyNumberFormat="1" applyFont="1" applyFill="1" applyBorder="1" applyAlignment="1" applyProtection="1">
      <alignment horizontal="right" wrapText="1"/>
      <protection locked="0"/>
    </xf>
    <xf numFmtId="0" fontId="54" fillId="0" borderId="0" xfId="0" applyFont="1" applyFill="1" applyBorder="1" applyAlignment="1">
      <alignment horizontal="right" wrapText="1"/>
    </xf>
    <xf numFmtId="2" fontId="54" fillId="0" borderId="0" xfId="4" applyNumberFormat="1" applyFont="1" applyFill="1" applyBorder="1" applyAlignment="1" applyProtection="1">
      <alignment horizontal="right" wrapText="1"/>
    </xf>
    <xf numFmtId="0" fontId="47" fillId="0" borderId="0" xfId="0" applyFont="1" applyFill="1" applyAlignment="1" applyProtection="1">
      <alignment horizontal="justify" vertical="top" wrapText="1"/>
    </xf>
    <xf numFmtId="0" fontId="44" fillId="0" borderId="0" xfId="0" applyFont="1" applyFill="1" applyAlignment="1">
      <alignment horizontal="justify" vertical="top" wrapText="1"/>
    </xf>
    <xf numFmtId="4" fontId="43" fillId="0" borderId="0" xfId="4" applyNumberFormat="1" applyFont="1" applyFill="1" applyBorder="1" applyAlignment="1" applyProtection="1">
      <alignment horizontal="right" vertical="top" wrapText="1"/>
    </xf>
    <xf numFmtId="165" fontId="43" fillId="0" borderId="0" xfId="0" applyNumberFormat="1" applyFont="1" applyAlignment="1" applyProtection="1">
      <alignment horizontal="center" wrapText="1"/>
    </xf>
    <xf numFmtId="165" fontId="43" fillId="0" borderId="0" xfId="0" applyNumberFormat="1" applyFont="1" applyAlignment="1" applyProtection="1">
      <alignment horizontal="center" vertical="top" wrapText="1"/>
    </xf>
    <xf numFmtId="0" fontId="43" fillId="0" borderId="0" xfId="0" applyFont="1" applyFill="1" applyAlignment="1" applyProtection="1">
      <alignment wrapText="1"/>
    </xf>
    <xf numFmtId="4" fontId="45" fillId="0" borderId="0" xfId="13" applyNumberFormat="1" applyFont="1" applyAlignment="1" applyProtection="1">
      <alignment horizontal="justify" wrapText="1"/>
    </xf>
    <xf numFmtId="0" fontId="42" fillId="0" borderId="0" xfId="0" applyFont="1" applyFill="1" applyAlignment="1" applyProtection="1">
      <alignment horizontal="justify" vertical="top" wrapText="1"/>
    </xf>
    <xf numFmtId="0" fontId="43" fillId="0" borderId="0" xfId="0" quotePrefix="1" applyFont="1" applyFill="1" applyAlignment="1" applyProtection="1">
      <alignment horizontal="justify" vertical="top" wrapText="1"/>
    </xf>
    <xf numFmtId="0" fontId="43" fillId="0" borderId="0" xfId="0" quotePrefix="1" applyFont="1" applyFill="1" applyAlignment="1">
      <alignment horizontal="justify" vertical="top" wrapText="1"/>
    </xf>
    <xf numFmtId="4" fontId="42" fillId="0" borderId="0" xfId="13" applyNumberFormat="1" applyFont="1" applyAlignment="1" applyProtection="1">
      <alignment horizontal="justify" vertical="top" wrapText="1"/>
    </xf>
    <xf numFmtId="0" fontId="40" fillId="0" borderId="0" xfId="0" quotePrefix="1" applyFont="1" applyFill="1" applyAlignment="1">
      <alignment horizontal="justify" vertical="top" wrapText="1"/>
    </xf>
    <xf numFmtId="0" fontId="40" fillId="0" borderId="0" xfId="0" quotePrefix="1" applyFont="1" applyFill="1" applyAlignment="1">
      <alignment horizontal="left" vertical="top" wrapText="1"/>
    </xf>
    <xf numFmtId="0" fontId="43" fillId="0" borderId="1" xfId="0" applyFont="1" applyFill="1" applyBorder="1" applyAlignment="1" applyProtection="1">
      <alignment horizontal="left" wrapText="1"/>
    </xf>
    <xf numFmtId="0" fontId="43" fillId="0" borderId="1" xfId="0" applyFont="1" applyFill="1" applyBorder="1" applyAlignment="1" applyProtection="1">
      <alignment horizontal="justify" wrapText="1"/>
    </xf>
    <xf numFmtId="2" fontId="43" fillId="0" borderId="1" xfId="4" applyNumberFormat="1" applyFont="1" applyFill="1" applyBorder="1" applyAlignment="1" applyProtection="1">
      <alignment horizontal="right" wrapText="1"/>
      <protection locked="0"/>
    </xf>
    <xf numFmtId="0" fontId="43" fillId="0" borderId="1" xfId="0" applyFont="1" applyFill="1" applyBorder="1" applyAlignment="1" applyProtection="1">
      <alignment horizontal="right" wrapText="1"/>
    </xf>
    <xf numFmtId="2" fontId="43" fillId="0" borderId="1" xfId="4" applyNumberFormat="1" applyFont="1" applyFill="1" applyBorder="1" applyAlignment="1" applyProtection="1">
      <alignment horizontal="right" wrapText="1"/>
    </xf>
    <xf numFmtId="0" fontId="44" fillId="0" borderId="0" xfId="0" applyFont="1" applyFill="1" applyBorder="1" applyAlignment="1" applyProtection="1">
      <alignment horizontal="right" vertical="top" wrapText="1"/>
    </xf>
    <xf numFmtId="0" fontId="44" fillId="0" borderId="0" xfId="0" applyFont="1" applyFill="1" applyBorder="1" applyAlignment="1" applyProtection="1">
      <alignment horizontal="justify" wrapText="1"/>
    </xf>
    <xf numFmtId="0" fontId="40" fillId="0" borderId="0" xfId="0" applyFont="1" applyFill="1" applyAlignment="1">
      <alignment vertical="top" wrapText="1"/>
    </xf>
    <xf numFmtId="0" fontId="41" fillId="0" borderId="0" xfId="0" applyFont="1" applyFill="1" applyBorder="1" applyAlignment="1">
      <alignment horizontal="justify" vertical="top" wrapText="1"/>
    </xf>
    <xf numFmtId="4" fontId="43" fillId="0" borderId="0" xfId="4" applyNumberFormat="1" applyFont="1" applyFill="1" applyAlignment="1">
      <alignment horizontal="right" vertical="top" wrapText="1"/>
    </xf>
    <xf numFmtId="2" fontId="43" fillId="0" borderId="0" xfId="4" applyNumberFormat="1" applyFont="1" applyFill="1" applyAlignment="1">
      <alignment horizontal="right" vertical="top" wrapText="1"/>
    </xf>
    <xf numFmtId="0" fontId="43" fillId="0" borderId="0" xfId="0" applyFont="1" applyFill="1" applyAlignment="1">
      <alignment horizontal="center" wrapText="1"/>
    </xf>
    <xf numFmtId="0" fontId="41" fillId="0" borderId="0" xfId="13" applyFont="1" applyFill="1" applyAlignment="1">
      <alignment horizontal="justify" vertical="top" wrapText="1"/>
    </xf>
    <xf numFmtId="49" fontId="43" fillId="0" borderId="0" xfId="0" applyNumberFormat="1" applyFont="1" applyAlignment="1">
      <alignment horizontal="justify" wrapText="1"/>
    </xf>
    <xf numFmtId="0" fontId="43" fillId="0" borderId="0" xfId="0" applyFont="1" applyAlignment="1">
      <alignment horizontal="right" wrapText="1"/>
    </xf>
    <xf numFmtId="49" fontId="43" fillId="0" borderId="0" xfId="0" applyNumberFormat="1" applyFont="1" applyAlignment="1">
      <alignment horizontal="center" vertical="top" wrapText="1"/>
    </xf>
    <xf numFmtId="2" fontId="46" fillId="0" borderId="0" xfId="0" applyNumberFormat="1" applyFont="1" applyAlignment="1">
      <alignment wrapText="1"/>
    </xf>
    <xf numFmtId="0" fontId="45" fillId="0" borderId="0" xfId="0" applyFont="1" applyAlignment="1">
      <alignment vertical="top" wrapText="1"/>
    </xf>
    <xf numFmtId="0" fontId="46" fillId="0" borderId="0" xfId="0" applyFont="1" applyAlignment="1">
      <alignment horizontal="justify" wrapText="1"/>
    </xf>
    <xf numFmtId="0" fontId="46" fillId="0" borderId="0" xfId="0" applyFont="1" applyAlignment="1">
      <alignment horizontal="left" wrapText="1"/>
    </xf>
    <xf numFmtId="0" fontId="46" fillId="0" borderId="0" xfId="0" applyFont="1" applyAlignment="1">
      <alignment horizontal="center" wrapText="1"/>
    </xf>
    <xf numFmtId="4" fontId="46" fillId="0" borderId="0" xfId="0" applyNumberFormat="1" applyFont="1" applyAlignment="1">
      <alignment wrapText="1"/>
    </xf>
    <xf numFmtId="0" fontId="55" fillId="0" borderId="0" xfId="0" applyFont="1" applyFill="1" applyAlignment="1" applyProtection="1">
      <alignment horizontal="center" wrapText="1"/>
    </xf>
    <xf numFmtId="0" fontId="45" fillId="0" borderId="0" xfId="0" applyFont="1" applyFill="1" applyAlignment="1" applyProtection="1">
      <alignment horizontal="center" wrapText="1"/>
    </xf>
    <xf numFmtId="0" fontId="44" fillId="0" borderId="0" xfId="0" applyFont="1" applyFill="1" applyAlignment="1" applyProtection="1">
      <alignment horizontal="center" wrapText="1"/>
    </xf>
    <xf numFmtId="0" fontId="44" fillId="0" borderId="0" xfId="0" applyFont="1" applyFill="1" applyAlignment="1" applyProtection="1">
      <alignment wrapText="1"/>
    </xf>
    <xf numFmtId="2" fontId="44" fillId="0" borderId="0" xfId="0" applyNumberFormat="1" applyFont="1" applyFill="1" applyAlignment="1" applyProtection="1">
      <alignment horizontal="left" wrapText="1"/>
    </xf>
    <xf numFmtId="4" fontId="45" fillId="0" borderId="0" xfId="13" applyNumberFormat="1" applyFont="1" applyAlignment="1" applyProtection="1">
      <alignment horizontal="justify" vertical="top" wrapText="1"/>
    </xf>
    <xf numFmtId="0" fontId="43" fillId="0" borderId="1" xfId="0" applyFont="1" applyFill="1" applyBorder="1" applyAlignment="1" applyProtection="1">
      <alignment wrapText="1"/>
    </xf>
    <xf numFmtId="0" fontId="6" fillId="5" borderId="0" xfId="0" applyFont="1" applyFill="1" applyAlignment="1" applyProtection="1">
      <alignment horizontal="justify" vertical="top"/>
    </xf>
    <xf numFmtId="2" fontId="6" fillId="5" borderId="0" xfId="0" applyNumberFormat="1" applyFont="1" applyFill="1" applyAlignment="1" applyProtection="1">
      <alignment horizontal="justify" vertical="top"/>
    </xf>
    <xf numFmtId="4" fontId="6" fillId="5" borderId="0" xfId="0" applyNumberFormat="1" applyFont="1" applyFill="1" applyAlignment="1" applyProtection="1">
      <alignment horizontal="center" vertical="center"/>
    </xf>
    <xf numFmtId="2" fontId="6" fillId="5" borderId="0" xfId="4" applyNumberFormat="1" applyFont="1" applyFill="1" applyBorder="1" applyAlignment="1" applyProtection="1">
      <alignment horizontal="justify" vertical="top"/>
      <protection locked="0"/>
    </xf>
    <xf numFmtId="2" fontId="6" fillId="5" borderId="0" xfId="4" applyNumberFormat="1" applyFont="1" applyFill="1" applyBorder="1" applyAlignment="1" applyProtection="1">
      <alignment horizontal="justify" vertical="top"/>
    </xf>
    <xf numFmtId="0" fontId="6" fillId="5" borderId="0" xfId="0" applyFont="1" applyFill="1" applyAlignment="1">
      <alignment vertical="top"/>
    </xf>
    <xf numFmtId="0" fontId="6" fillId="5" borderId="0" xfId="0" applyFont="1" applyFill="1" applyAlignment="1">
      <alignment horizontal="left" vertical="top"/>
    </xf>
    <xf numFmtId="0" fontId="8" fillId="5" borderId="0" xfId="0" applyFont="1" applyFill="1" applyBorder="1" applyAlignment="1">
      <alignment horizontal="justify" vertical="top"/>
    </xf>
    <xf numFmtId="0" fontId="7" fillId="5" borderId="0" xfId="0" applyFont="1" applyFill="1" applyAlignment="1">
      <alignment horizontal="left" vertical="top"/>
    </xf>
    <xf numFmtId="4" fontId="7" fillId="5" borderId="0" xfId="4" applyNumberFormat="1" applyFont="1" applyFill="1" applyAlignment="1">
      <alignment horizontal="right" vertical="top"/>
    </xf>
    <xf numFmtId="0" fontId="7" fillId="5" borderId="0" xfId="0" applyFont="1" applyFill="1" applyAlignment="1">
      <alignment horizontal="right" vertical="top"/>
    </xf>
    <xf numFmtId="2" fontId="7" fillId="5" borderId="0" xfId="4" applyNumberFormat="1" applyFont="1" applyFill="1" applyAlignment="1">
      <alignment horizontal="right" vertical="top"/>
    </xf>
    <xf numFmtId="0" fontId="43" fillId="5" borderId="0" xfId="0" applyFont="1" applyFill="1" applyAlignment="1">
      <alignment vertical="top"/>
    </xf>
    <xf numFmtId="0" fontId="43" fillId="5" borderId="0" xfId="0" applyFont="1" applyFill="1" applyAlignment="1">
      <alignment horizontal="left"/>
    </xf>
    <xf numFmtId="2" fontId="43" fillId="5" borderId="0" xfId="0" applyNumberFormat="1" applyFont="1" applyFill="1" applyAlignment="1">
      <alignment horizontal="center" wrapText="1"/>
    </xf>
    <xf numFmtId="2" fontId="43" fillId="5" borderId="0" xfId="4" applyNumberFormat="1" applyFont="1" applyFill="1" applyBorder="1" applyAlignment="1" applyProtection="1">
      <alignment horizontal="right"/>
      <protection locked="0"/>
    </xf>
    <xf numFmtId="0" fontId="43" fillId="5" borderId="0" xfId="0" applyFont="1" applyFill="1" applyAlignment="1">
      <alignment horizontal="right"/>
    </xf>
    <xf numFmtId="2" fontId="43" fillId="5" borderId="0" xfId="4" applyNumberFormat="1" applyFont="1" applyFill="1" applyBorder="1" applyAlignment="1" applyProtection="1">
      <alignment horizontal="right"/>
    </xf>
    <xf numFmtId="0" fontId="12" fillId="5" borderId="0" xfId="0" applyFont="1" applyFill="1" applyAlignment="1" applyProtection="1">
      <alignment horizontal="right" vertical="top"/>
    </xf>
    <xf numFmtId="0" fontId="12" fillId="5" borderId="0" xfId="0" applyFont="1" applyFill="1" applyAlignment="1" applyProtection="1">
      <alignment horizontal="left"/>
    </xf>
    <xf numFmtId="0" fontId="12" fillId="5" borderId="0" xfId="0" applyFont="1" applyFill="1" applyAlignment="1" applyProtection="1">
      <alignment horizontal="justify"/>
    </xf>
    <xf numFmtId="2" fontId="12" fillId="5" borderId="0" xfId="4" applyNumberFormat="1" applyFont="1" applyFill="1" applyBorder="1" applyAlignment="1" applyProtection="1">
      <alignment horizontal="right"/>
      <protection locked="0"/>
    </xf>
    <xf numFmtId="0" fontId="12" fillId="5" borderId="0" xfId="0" applyFont="1" applyFill="1" applyAlignment="1" applyProtection="1">
      <alignment horizontal="right"/>
    </xf>
    <xf numFmtId="2" fontId="12" fillId="5" borderId="0" xfId="4" applyNumberFormat="1" applyFont="1" applyFill="1" applyBorder="1" applyAlignment="1" applyProtection="1">
      <alignment horizontal="right"/>
    </xf>
    <xf numFmtId="0" fontId="6" fillId="5" borderId="0" xfId="0" applyFont="1" applyFill="1" applyBorder="1" applyAlignment="1" applyProtection="1">
      <alignment vertical="top"/>
    </xf>
    <xf numFmtId="0" fontId="6" fillId="5" borderId="0" xfId="0" applyFont="1" applyFill="1" applyBorder="1" applyAlignment="1" applyProtection="1">
      <alignment horizontal="justify"/>
    </xf>
    <xf numFmtId="2" fontId="6" fillId="5" borderId="0" xfId="0" applyNumberFormat="1" applyFont="1" applyFill="1" applyBorder="1" applyAlignment="1" applyProtection="1">
      <alignment horizontal="center"/>
    </xf>
    <xf numFmtId="0" fontId="6" fillId="5" borderId="0" xfId="0" applyFont="1" applyFill="1" applyBorder="1" applyAlignment="1" applyProtection="1">
      <alignment horizontal="left"/>
    </xf>
    <xf numFmtId="4" fontId="6" fillId="5" borderId="0" xfId="0" applyNumberFormat="1" applyFont="1" applyFill="1" applyBorder="1" applyProtection="1">
      <alignment wrapText="1"/>
      <protection locked="0"/>
    </xf>
    <xf numFmtId="0" fontId="6" fillId="5" borderId="0" xfId="0" applyFont="1" applyFill="1" applyBorder="1" applyAlignment="1" applyProtection="1">
      <alignment horizontal="center"/>
    </xf>
    <xf numFmtId="4" fontId="6" fillId="5" borderId="0" xfId="0" applyNumberFormat="1" applyFont="1" applyFill="1" applyBorder="1" applyProtection="1">
      <alignment wrapText="1"/>
    </xf>
    <xf numFmtId="0" fontId="42" fillId="5" borderId="0" xfId="11" applyFont="1" applyFill="1" applyAlignment="1">
      <alignment vertical="top" wrapText="1"/>
    </xf>
    <xf numFmtId="0" fontId="40" fillId="5" borderId="0" xfId="11" applyFont="1" applyFill="1" applyAlignment="1">
      <alignment vertical="top" wrapText="1"/>
    </xf>
    <xf numFmtId="0" fontId="40" fillId="5" borderId="0" xfId="11" quotePrefix="1" applyFont="1" applyFill="1" applyBorder="1" applyAlignment="1">
      <alignment wrapText="1"/>
    </xf>
    <xf numFmtId="0" fontId="40" fillId="5" borderId="0" xfId="11" applyFont="1" applyFill="1" applyAlignment="1">
      <alignment horizontal="left" vertical="top" wrapText="1"/>
    </xf>
    <xf numFmtId="43" fontId="40" fillId="5" borderId="0" xfId="6" applyFont="1" applyFill="1" applyAlignment="1" applyProtection="1">
      <alignment horizontal="right" vertical="top" wrapText="1"/>
      <protection locked="0"/>
    </xf>
    <xf numFmtId="0" fontId="40" fillId="5" borderId="0" xfId="11" applyFont="1" applyFill="1" applyAlignment="1">
      <alignment horizontal="right" vertical="top" wrapText="1"/>
    </xf>
    <xf numFmtId="4" fontId="40" fillId="5" borderId="0" xfId="6" applyNumberFormat="1" applyFont="1" applyFill="1" applyAlignment="1">
      <alignment horizontal="right" vertical="top" wrapText="1"/>
    </xf>
    <xf numFmtId="0" fontId="0" fillId="5" borderId="0" xfId="0" applyFill="1" applyAlignment="1">
      <alignment wrapText="1"/>
    </xf>
    <xf numFmtId="0" fontId="40" fillId="5" borderId="0" xfId="11" applyFont="1" applyFill="1" applyAlignment="1">
      <alignment horizontal="left" wrapText="1"/>
    </xf>
    <xf numFmtId="4" fontId="40" fillId="5" borderId="0" xfId="11" applyNumberFormat="1" applyFont="1" applyFill="1" applyAlignment="1">
      <alignment horizontal="center" wrapText="1"/>
    </xf>
    <xf numFmtId="43" fontId="40" fillId="5" borderId="0" xfId="6" applyFont="1" applyFill="1" applyAlignment="1" applyProtection="1">
      <alignment horizontal="right" wrapText="1"/>
      <protection locked="0"/>
    </xf>
    <xf numFmtId="0" fontId="40" fillId="5" borderId="0" xfId="11" applyFont="1" applyFill="1" applyAlignment="1">
      <alignment horizontal="right" wrapText="1"/>
    </xf>
    <xf numFmtId="4" fontId="40" fillId="5" borderId="0" xfId="6" applyNumberFormat="1" applyFont="1" applyFill="1" applyAlignment="1">
      <alignment horizontal="right" wrapText="1"/>
    </xf>
    <xf numFmtId="0" fontId="42" fillId="5" borderId="0" xfId="0" applyFont="1" applyFill="1" applyAlignment="1">
      <alignment vertical="top" wrapText="1"/>
    </xf>
    <xf numFmtId="0" fontId="40" fillId="5" borderId="0" xfId="0" applyFont="1" applyFill="1" applyAlignment="1">
      <alignment horizontal="left" wrapText="1"/>
    </xf>
    <xf numFmtId="49" fontId="40" fillId="5" borderId="0" xfId="0" applyNumberFormat="1" applyFont="1" applyFill="1" applyAlignment="1">
      <alignment horizontal="center" wrapText="1"/>
    </xf>
    <xf numFmtId="164" fontId="40" fillId="5" borderId="0" xfId="4" applyFont="1" applyFill="1" applyBorder="1" applyAlignment="1" applyProtection="1">
      <alignment horizontal="right" wrapText="1"/>
      <protection locked="0"/>
    </xf>
    <xf numFmtId="0" fontId="40" fillId="5" borderId="0" xfId="0" applyFont="1" applyFill="1" applyAlignment="1">
      <alignment horizontal="right" wrapText="1"/>
    </xf>
    <xf numFmtId="4" fontId="40" fillId="5" borderId="0" xfId="0" applyNumberFormat="1" applyFont="1" applyFill="1" applyAlignment="1">
      <alignment wrapText="1"/>
    </xf>
    <xf numFmtId="0" fontId="29" fillId="0" borderId="3" xfId="0" applyFont="1" applyFill="1" applyBorder="1" applyAlignment="1" applyProtection="1">
      <alignment horizontal="center"/>
    </xf>
    <xf numFmtId="0" fontId="56" fillId="6" borderId="3" xfId="0" applyFont="1" applyFill="1" applyBorder="1" applyAlignment="1">
      <alignment horizontal="center" vertical="center" wrapText="1"/>
    </xf>
    <xf numFmtId="0" fontId="30" fillId="7" borderId="3" xfId="0" applyFont="1" applyFill="1" applyBorder="1" applyAlignment="1" applyProtection="1">
      <alignment horizontal="left"/>
    </xf>
    <xf numFmtId="0" fontId="29" fillId="8" borderId="3" xfId="0" applyFont="1" applyFill="1" applyBorder="1" applyAlignment="1" applyProtection="1">
      <alignment horizontal="center"/>
    </xf>
    <xf numFmtId="0" fontId="29" fillId="0" borderId="3" xfId="0" applyFont="1" applyFill="1" applyBorder="1" applyProtection="1">
      <alignment wrapText="1"/>
    </xf>
    <xf numFmtId="0" fontId="57" fillId="0" borderId="3" xfId="0" applyFont="1" applyFill="1" applyBorder="1" applyProtection="1">
      <alignment wrapText="1"/>
    </xf>
    <xf numFmtId="0" fontId="29" fillId="9" borderId="3" xfId="0" applyFont="1" applyFill="1" applyBorder="1" applyProtection="1">
      <alignment wrapText="1"/>
    </xf>
    <xf numFmtId="0" fontId="57" fillId="10" borderId="3" xfId="0" applyFont="1" applyFill="1" applyBorder="1" applyProtection="1">
      <alignment wrapText="1"/>
    </xf>
    <xf numFmtId="0" fontId="57" fillId="9" borderId="3" xfId="3" applyFont="1" applyFill="1" applyBorder="1" applyAlignment="1" applyProtection="1">
      <alignment wrapText="1"/>
    </xf>
    <xf numFmtId="0" fontId="29" fillId="10" borderId="3" xfId="0" applyFont="1" applyFill="1" applyBorder="1" applyProtection="1">
      <alignment wrapText="1"/>
    </xf>
    <xf numFmtId="0" fontId="29" fillId="12" borderId="3" xfId="0" applyFont="1" applyFill="1" applyBorder="1" applyProtection="1">
      <alignment wrapText="1"/>
    </xf>
    <xf numFmtId="0" fontId="29" fillId="0" borderId="3" xfId="0" applyFont="1" applyFill="1" applyBorder="1" applyAlignment="1" applyProtection="1">
      <alignment horizontal="center" wrapText="1"/>
    </xf>
    <xf numFmtId="0" fontId="29" fillId="0" borderId="3" xfId="0" applyFont="1" applyFill="1" applyBorder="1" applyAlignment="1" applyProtection="1">
      <alignment horizontal="center" vertical="center" wrapText="1"/>
    </xf>
    <xf numFmtId="0" fontId="29" fillId="0" borderId="3" xfId="0" applyFont="1" applyFill="1" applyBorder="1" applyAlignment="1" applyProtection="1">
      <alignment wrapText="1"/>
    </xf>
    <xf numFmtId="2" fontId="31" fillId="2" borderId="3" xfId="1" applyNumberFormat="1" applyFont="1" applyBorder="1" applyAlignment="1" applyProtection="1">
      <alignment horizontal="center"/>
      <protection locked="0"/>
    </xf>
    <xf numFmtId="2" fontId="31" fillId="3" borderId="3" xfId="2" applyNumberFormat="1" applyFont="1" applyBorder="1" applyAlignment="1" applyProtection="1">
      <alignment horizontal="center"/>
      <protection locked="0"/>
    </xf>
    <xf numFmtId="0" fontId="31" fillId="3" borderId="3" xfId="2" applyFont="1" applyBorder="1" applyAlignment="1" applyProtection="1">
      <alignment horizontal="center"/>
    </xf>
    <xf numFmtId="0" fontId="31" fillId="2" borderId="3" xfId="1" applyFont="1" applyBorder="1" applyAlignment="1" applyProtection="1">
      <alignment wrapText="1"/>
    </xf>
    <xf numFmtId="0" fontId="31" fillId="0" borderId="3" xfId="12" applyFont="1" applyBorder="1" applyAlignment="1">
      <alignment horizontal="left" vertical="center"/>
    </xf>
    <xf numFmtId="0" fontId="58" fillId="0" borderId="0" xfId="0" applyFont="1" applyAlignment="1"/>
    <xf numFmtId="0" fontId="58" fillId="0" borderId="4" xfId="0" applyFont="1" applyBorder="1" applyAlignment="1"/>
    <xf numFmtId="2" fontId="29" fillId="0" borderId="3" xfId="0" applyNumberFormat="1" applyFont="1" applyFill="1" applyBorder="1" applyAlignment="1" applyProtection="1">
      <alignment vertical="top"/>
    </xf>
    <xf numFmtId="2" fontId="29" fillId="0" borderId="3" xfId="0" applyNumberFormat="1" applyFont="1" applyFill="1" applyBorder="1" applyProtection="1">
      <alignment wrapText="1"/>
    </xf>
    <xf numFmtId="0" fontId="59" fillId="15" borderId="3" xfId="0" applyFont="1" applyFill="1" applyBorder="1" applyAlignment="1">
      <alignment horizontal="center" vertical="center" wrapText="1"/>
    </xf>
    <xf numFmtId="0" fontId="56" fillId="15" borderId="3" xfId="0" applyFont="1" applyFill="1" applyBorder="1" applyAlignment="1">
      <alignment horizontal="center" vertical="center" wrapText="1"/>
    </xf>
    <xf numFmtId="2" fontId="36" fillId="7" borderId="5" xfId="0" applyNumberFormat="1" applyFont="1" applyFill="1" applyBorder="1" applyAlignment="1" applyProtection="1">
      <alignment vertical="center"/>
    </xf>
    <xf numFmtId="0" fontId="31" fillId="7" borderId="3" xfId="0" applyFont="1" applyFill="1" applyBorder="1" applyProtection="1">
      <alignment wrapText="1"/>
    </xf>
    <xf numFmtId="0" fontId="30" fillId="16" borderId="3" xfId="0" applyFont="1" applyFill="1" applyBorder="1" applyAlignment="1" applyProtection="1">
      <alignment horizontal="left"/>
    </xf>
    <xf numFmtId="0" fontId="60" fillId="14" borderId="0" xfId="0" applyFont="1" applyFill="1" applyAlignment="1"/>
    <xf numFmtId="0" fontId="32" fillId="9" borderId="3" xfId="12" applyFont="1" applyFill="1" applyBorder="1" applyAlignment="1" applyProtection="1">
      <alignment horizontal="center" vertical="center" wrapText="1"/>
      <protection locked="0"/>
    </xf>
    <xf numFmtId="0" fontId="32" fillId="9" borderId="3" xfId="14" applyFont="1" applyFill="1" applyBorder="1" applyAlignment="1" applyProtection="1">
      <alignment horizontal="center" vertical="center" wrapText="1"/>
      <protection locked="0"/>
    </xf>
    <xf numFmtId="49" fontId="31" fillId="0" borderId="3" xfId="12" applyNumberFormat="1" applyFont="1" applyBorder="1" applyAlignment="1">
      <alignment horizontal="left" vertical="center"/>
    </xf>
    <xf numFmtId="4" fontId="29" fillId="11" borderId="3" xfId="0" applyNumberFormat="1" applyFont="1" applyFill="1" applyBorder="1" applyProtection="1">
      <alignment wrapText="1"/>
    </xf>
    <xf numFmtId="2" fontId="58" fillId="0" borderId="4" xfId="0" applyNumberFormat="1" applyFont="1" applyBorder="1" applyAlignment="1"/>
    <xf numFmtId="0" fontId="60" fillId="17" borderId="0" xfId="0" applyFont="1" applyFill="1" applyBorder="1" applyAlignment="1">
      <alignment horizontal="center"/>
    </xf>
    <xf numFmtId="2" fontId="60" fillId="17" borderId="0" xfId="0" applyNumberFormat="1" applyFont="1" applyFill="1" applyBorder="1" applyAlignment="1">
      <alignment horizontal="center" wrapText="1"/>
    </xf>
    <xf numFmtId="2" fontId="60" fillId="17" borderId="0" xfId="0" applyNumberFormat="1" applyFont="1" applyFill="1" applyBorder="1" applyAlignment="1">
      <alignment horizontal="center"/>
    </xf>
    <xf numFmtId="0" fontId="58" fillId="17" borderId="0" xfId="0" applyFont="1" applyFill="1" applyBorder="1" applyAlignment="1"/>
    <xf numFmtId="0" fontId="58" fillId="0" borderId="0" xfId="0" applyFont="1" applyBorder="1" applyAlignment="1">
      <alignment horizontal="right"/>
    </xf>
    <xf numFmtId="0" fontId="60" fillId="17" borderId="0" xfId="0" applyFont="1" applyFill="1" applyBorder="1" applyAlignment="1"/>
    <xf numFmtId="0" fontId="58" fillId="17" borderId="0" xfId="0" applyFont="1" applyFill="1" applyBorder="1" applyAlignment="1">
      <alignment horizontal="right"/>
    </xf>
    <xf numFmtId="2" fontId="31" fillId="16" borderId="5" xfId="1" applyNumberFormat="1" applyFont="1" applyFill="1" applyBorder="1" applyAlignment="1" applyProtection="1">
      <protection locked="0"/>
    </xf>
    <xf numFmtId="0" fontId="61" fillId="7" borderId="3" xfId="0" applyFont="1" applyFill="1" applyBorder="1" applyAlignment="1" applyProtection="1">
      <alignment horizontal="left"/>
    </xf>
    <xf numFmtId="2" fontId="29" fillId="18" borderId="0" xfId="4" applyNumberFormat="1" applyFont="1" applyFill="1" applyBorder="1" applyAlignment="1" applyProtection="1">
      <alignment horizontal="center"/>
      <protection locked="0"/>
    </xf>
    <xf numFmtId="0" fontId="29" fillId="0" borderId="9" xfId="0" applyFont="1" applyFill="1" applyBorder="1" applyAlignment="1" applyProtection="1">
      <alignment vertical="top"/>
    </xf>
    <xf numFmtId="0" fontId="29" fillId="0" borderId="0" xfId="0" applyFont="1" applyFill="1" applyAlignment="1" applyProtection="1">
      <alignment horizontal="justify" wrapText="1"/>
    </xf>
    <xf numFmtId="0" fontId="29" fillId="0" borderId="4" xfId="0" applyFont="1" applyFill="1" applyBorder="1" applyAlignment="1" applyProtection="1">
      <alignment horizontal="center"/>
    </xf>
    <xf numFmtId="0" fontId="29" fillId="10" borderId="0" xfId="0" applyFont="1" applyFill="1" applyAlignment="1" applyProtection="1">
      <alignment horizontal="center"/>
    </xf>
    <xf numFmtId="0" fontId="29" fillId="0" borderId="0" xfId="0" applyFont="1" applyFill="1" applyBorder="1" applyAlignment="1" applyProtection="1">
      <alignment horizontal="right" wrapText="1"/>
    </xf>
    <xf numFmtId="0" fontId="31" fillId="7" borderId="0" xfId="0" applyFont="1" applyFill="1" applyBorder="1" applyProtection="1">
      <alignment wrapText="1"/>
    </xf>
    <xf numFmtId="0" fontId="56" fillId="6" borderId="0" xfId="0" applyFont="1" applyFill="1" applyBorder="1" applyAlignment="1">
      <alignment horizontal="center" vertical="center" wrapText="1"/>
    </xf>
    <xf numFmtId="0" fontId="29" fillId="7" borderId="0" xfId="0" applyFont="1" applyFill="1" applyBorder="1" applyProtection="1">
      <alignment wrapText="1"/>
    </xf>
    <xf numFmtId="0" fontId="29" fillId="0" borderId="0" xfId="0" applyFont="1" applyFill="1" applyBorder="1" applyProtection="1">
      <alignment wrapText="1"/>
    </xf>
    <xf numFmtId="2" fontId="29" fillId="9" borderId="0" xfId="4" applyNumberFormat="1" applyFont="1" applyFill="1" applyBorder="1" applyAlignment="1" applyProtection="1">
      <alignment horizontal="center"/>
      <protection locked="0"/>
    </xf>
    <xf numFmtId="0" fontId="29" fillId="8" borderId="0" xfId="0" applyFont="1" applyFill="1" applyBorder="1" applyAlignment="1" applyProtection="1">
      <alignment vertical="top"/>
    </xf>
    <xf numFmtId="0" fontId="29" fillId="8" borderId="0" xfId="0" applyFont="1" applyFill="1" applyBorder="1" applyAlignment="1" applyProtection="1">
      <alignment horizontal="justify" wrapText="1"/>
    </xf>
    <xf numFmtId="0" fontId="29" fillId="8" borderId="0" xfId="0" applyFont="1" applyFill="1" applyBorder="1" applyAlignment="1" applyProtection="1">
      <alignment horizontal="center"/>
    </xf>
    <xf numFmtId="0" fontId="29" fillId="0" borderId="0" xfId="0" applyFont="1" applyFill="1" applyBorder="1" applyAlignment="1" applyProtection="1">
      <alignment vertical="top"/>
    </xf>
    <xf numFmtId="0" fontId="29" fillId="0" borderId="0" xfId="0" applyFont="1" applyFill="1" applyBorder="1" applyAlignment="1" applyProtection="1">
      <alignment horizontal="justify" wrapText="1"/>
    </xf>
    <xf numFmtId="0" fontId="29" fillId="0" borderId="0" xfId="0" applyFont="1" applyFill="1" applyBorder="1" applyAlignment="1" applyProtection="1">
      <alignment horizontal="center"/>
    </xf>
    <xf numFmtId="0" fontId="29" fillId="0" borderId="0" xfId="0" applyFont="1" applyFill="1" applyBorder="1" applyAlignment="1" applyProtection="1">
      <alignment horizontal="center" wrapText="1"/>
    </xf>
    <xf numFmtId="0" fontId="29" fillId="9" borderId="0" xfId="0" applyFont="1" applyFill="1" applyBorder="1" applyAlignment="1" applyProtection="1">
      <alignment horizontal="center"/>
    </xf>
    <xf numFmtId="0" fontId="29" fillId="10" borderId="0" xfId="0" applyFont="1" applyFill="1" applyBorder="1" applyAlignment="1" applyProtection="1">
      <alignment horizontal="center"/>
    </xf>
    <xf numFmtId="49" fontId="59" fillId="15" borderId="3" xfId="0" applyNumberFormat="1" applyFont="1" applyFill="1" applyBorder="1" applyAlignment="1">
      <alignment horizontal="center" vertical="center" wrapText="1"/>
    </xf>
    <xf numFmtId="49" fontId="29" fillId="8" borderId="3" xfId="0" applyNumberFormat="1" applyFont="1" applyFill="1" applyBorder="1" applyAlignment="1" applyProtection="1">
      <alignment vertical="top"/>
    </xf>
    <xf numFmtId="2" fontId="32" fillId="7" borderId="10" xfId="0" applyNumberFormat="1" applyFont="1" applyFill="1" applyBorder="1" applyAlignment="1" applyProtection="1">
      <alignment vertical="center"/>
    </xf>
    <xf numFmtId="2" fontId="32" fillId="7" borderId="5" xfId="0" applyNumberFormat="1" applyFont="1" applyFill="1" applyBorder="1" applyAlignment="1" applyProtection="1">
      <alignment vertical="center"/>
    </xf>
    <xf numFmtId="2" fontId="32" fillId="7" borderId="5" xfId="0" applyNumberFormat="1" applyFont="1" applyFill="1" applyBorder="1" applyAlignment="1" applyProtection="1">
      <alignment horizontal="center" vertical="center"/>
    </xf>
    <xf numFmtId="2" fontId="31" fillId="7" borderId="5" xfId="0" applyNumberFormat="1" applyFont="1" applyFill="1" applyBorder="1" applyAlignment="1" applyProtection="1">
      <alignment vertical="center"/>
    </xf>
    <xf numFmtId="2" fontId="56" fillId="15" borderId="3" xfId="0" applyNumberFormat="1" applyFont="1" applyFill="1" applyBorder="1" applyAlignment="1">
      <alignment horizontal="center" vertical="center" wrapText="1"/>
    </xf>
    <xf numFmtId="49" fontId="36" fillId="7" borderId="10" xfId="0" applyNumberFormat="1" applyFont="1" applyFill="1" applyBorder="1" applyAlignment="1" applyProtection="1">
      <alignment vertical="center"/>
    </xf>
    <xf numFmtId="0" fontId="29" fillId="0" borderId="10" xfId="0" applyFont="1" applyFill="1" applyBorder="1" applyAlignment="1" applyProtection="1">
      <alignment horizontal="right" wrapText="1"/>
    </xf>
    <xf numFmtId="0" fontId="30" fillId="7" borderId="0" xfId="0" applyFont="1" applyFill="1" applyBorder="1" applyAlignment="1" applyProtection="1">
      <alignment horizontal="left"/>
    </xf>
    <xf numFmtId="0" fontId="29" fillId="0" borderId="0" xfId="0" applyFont="1" applyFill="1" applyBorder="1" applyAlignment="1" applyProtection="1">
      <alignment wrapText="1"/>
    </xf>
    <xf numFmtId="0" fontId="29" fillId="9" borderId="0" xfId="0" applyFont="1" applyFill="1" applyBorder="1" applyProtection="1">
      <alignment wrapText="1"/>
    </xf>
    <xf numFmtId="0" fontId="31" fillId="17" borderId="3" xfId="0" applyFont="1" applyFill="1" applyBorder="1" applyAlignment="1">
      <alignment horizontal="justify" vertical="top"/>
    </xf>
    <xf numFmtId="2" fontId="29" fillId="0" borderId="12" xfId="0" applyNumberFormat="1" applyFont="1" applyFill="1" applyBorder="1" applyProtection="1">
      <alignment wrapText="1"/>
    </xf>
    <xf numFmtId="0" fontId="29" fillId="0" borderId="12" xfId="0" applyFont="1" applyFill="1" applyBorder="1" applyProtection="1">
      <alignment wrapText="1"/>
    </xf>
    <xf numFmtId="0" fontId="29" fillId="0" borderId="12" xfId="0" applyFont="1" applyFill="1" applyBorder="1" applyAlignment="1" applyProtection="1">
      <alignment horizontal="center" wrapText="1"/>
    </xf>
    <xf numFmtId="0" fontId="31" fillId="2" borderId="12" xfId="1" applyFont="1" applyBorder="1" applyAlignment="1" applyProtection="1">
      <alignment wrapText="1"/>
    </xf>
    <xf numFmtId="2" fontId="31" fillId="3" borderId="12" xfId="2" applyNumberFormat="1" applyFont="1" applyBorder="1" applyAlignment="1" applyProtection="1">
      <alignment horizontal="center"/>
      <protection locked="0"/>
    </xf>
    <xf numFmtId="2" fontId="31" fillId="3" borderId="0" xfId="2" applyNumberFormat="1" applyFont="1" applyBorder="1" applyAlignment="1" applyProtection="1">
      <alignment horizontal="center"/>
      <protection locked="0"/>
    </xf>
    <xf numFmtId="2" fontId="30" fillId="0" borderId="0" xfId="0" applyNumberFormat="1" applyFont="1" applyFill="1" applyBorder="1" applyAlignment="1" applyProtection="1">
      <alignment horizontal="right" wrapText="1"/>
    </xf>
    <xf numFmtId="2" fontId="29" fillId="0" borderId="0" xfId="0" applyNumberFormat="1" applyFont="1" applyFill="1" applyBorder="1" applyProtection="1">
      <alignment wrapText="1"/>
    </xf>
    <xf numFmtId="0" fontId="31" fillId="2" borderId="0" xfId="1" applyFont="1" applyBorder="1" applyAlignment="1" applyProtection="1">
      <alignment wrapText="1"/>
    </xf>
    <xf numFmtId="2" fontId="32" fillId="7" borderId="5" xfId="0" applyNumberFormat="1" applyFont="1" applyFill="1" applyBorder="1" applyAlignment="1" applyProtection="1">
      <alignment horizontal="right" vertical="center"/>
    </xf>
    <xf numFmtId="2" fontId="56" fillId="15" borderId="10" xfId="0" applyNumberFormat="1" applyFont="1" applyFill="1" applyBorder="1" applyAlignment="1">
      <alignment horizontal="center" vertical="center" wrapText="1"/>
    </xf>
    <xf numFmtId="2" fontId="30" fillId="0" borderId="10" xfId="0" applyNumberFormat="1" applyFont="1" applyFill="1" applyBorder="1" applyAlignment="1" applyProtection="1">
      <alignment horizontal="right" wrapText="1"/>
    </xf>
    <xf numFmtId="0" fontId="56" fillId="15" borderId="0" xfId="0" applyFont="1" applyFill="1" applyBorder="1" applyAlignment="1">
      <alignment horizontal="center" vertical="center" wrapText="1"/>
    </xf>
    <xf numFmtId="0" fontId="30" fillId="16" borderId="0" xfId="0" applyFont="1" applyFill="1" applyBorder="1" applyAlignment="1" applyProtection="1">
      <alignment horizontal="left"/>
    </xf>
    <xf numFmtId="0" fontId="57" fillId="0" borderId="0" xfId="0" applyFont="1" applyFill="1" applyBorder="1" applyProtection="1">
      <alignment wrapText="1"/>
    </xf>
    <xf numFmtId="0" fontId="57" fillId="9" borderId="0" xfId="3" applyFont="1" applyFill="1" applyBorder="1" applyAlignment="1" applyProtection="1">
      <alignment wrapText="1"/>
    </xf>
    <xf numFmtId="0" fontId="29" fillId="12" borderId="0" xfId="0" applyFont="1" applyFill="1" applyBorder="1" applyProtection="1">
      <alignment wrapText="1"/>
    </xf>
    <xf numFmtId="0" fontId="29" fillId="10" borderId="0" xfId="0" applyFont="1" applyFill="1" applyBorder="1" applyProtection="1">
      <alignment wrapText="1"/>
    </xf>
    <xf numFmtId="0" fontId="29" fillId="0" borderId="0" xfId="0" applyFont="1" applyFill="1" applyBorder="1" applyAlignment="1" applyProtection="1">
      <alignment horizontal="center" vertical="center" wrapText="1"/>
    </xf>
    <xf numFmtId="0" fontId="31" fillId="0" borderId="0" xfId="0" applyFont="1" applyFill="1" applyBorder="1" applyProtection="1">
      <alignment wrapText="1"/>
    </xf>
    <xf numFmtId="0" fontId="32" fillId="7" borderId="0" xfId="0" applyFont="1" applyFill="1" applyBorder="1" applyAlignment="1" applyProtection="1">
      <alignment horizontal="left"/>
    </xf>
    <xf numFmtId="0" fontId="61" fillId="7" borderId="0" xfId="0" applyFont="1" applyFill="1" applyBorder="1" applyAlignment="1" applyProtection="1">
      <alignment horizontal="left"/>
    </xf>
    <xf numFmtId="2" fontId="30" fillId="0" borderId="13" xfId="0" applyNumberFormat="1" applyFont="1" applyFill="1" applyBorder="1" applyAlignment="1" applyProtection="1">
      <alignment horizontal="right" wrapText="1"/>
    </xf>
    <xf numFmtId="0" fontId="31" fillId="11" borderId="3" xfId="12" applyFont="1" applyFill="1" applyBorder="1" applyAlignment="1">
      <alignment horizontal="center" vertical="center"/>
    </xf>
    <xf numFmtId="0" fontId="31" fillId="11" borderId="3" xfId="12" applyFont="1" applyFill="1" applyBorder="1" applyAlignment="1">
      <alignment horizontal="center" vertical="center" wrapText="1"/>
    </xf>
    <xf numFmtId="0" fontId="31" fillId="0" borderId="3" xfId="12" applyFont="1" applyBorder="1" applyAlignment="1">
      <alignment horizontal="center" vertical="center"/>
    </xf>
    <xf numFmtId="0" fontId="29" fillId="9" borderId="3" xfId="0" applyFont="1" applyFill="1" applyBorder="1" applyAlignment="1" applyProtection="1">
      <alignment horizontal="center" vertical="center"/>
    </xf>
    <xf numFmtId="2" fontId="31" fillId="9" borderId="3" xfId="2" applyNumberFormat="1" applyFont="1" applyFill="1" applyBorder="1" applyAlignment="1" applyProtection="1">
      <alignment horizontal="center" vertical="center" wrapText="1"/>
      <protection locked="0"/>
    </xf>
    <xf numFmtId="2" fontId="31" fillId="9" borderId="3" xfId="1" applyNumberFormat="1" applyFont="1" applyFill="1" applyBorder="1" applyAlignment="1" applyProtection="1">
      <alignment horizontal="center" vertical="center"/>
      <protection locked="0"/>
    </xf>
    <xf numFmtId="4" fontId="31" fillId="9" borderId="3" xfId="12" applyNumberFormat="1" applyFont="1" applyFill="1" applyBorder="1" applyAlignment="1">
      <alignment horizontal="center" vertical="center"/>
    </xf>
    <xf numFmtId="49" fontId="29" fillId="0" borderId="0" xfId="0" applyNumberFormat="1" applyFont="1" applyFill="1" applyBorder="1" applyProtection="1">
      <alignment wrapText="1"/>
    </xf>
    <xf numFmtId="2" fontId="31" fillId="0" borderId="0" xfId="0" applyNumberFormat="1" applyFont="1" applyBorder="1" applyAlignment="1">
      <alignment horizontal="justify" vertical="top" wrapText="1"/>
    </xf>
    <xf numFmtId="49" fontId="31" fillId="0" borderId="0" xfId="12" applyNumberFormat="1" applyFont="1" applyBorder="1" applyAlignment="1">
      <alignment horizontal="left" vertical="center"/>
    </xf>
    <xf numFmtId="0" fontId="31" fillId="0" borderId="0" xfId="12" applyFont="1" applyBorder="1" applyAlignment="1">
      <alignment horizontal="left" vertical="center"/>
    </xf>
    <xf numFmtId="0" fontId="31" fillId="0" borderId="0" xfId="12" applyFont="1" applyBorder="1" applyAlignment="1">
      <alignment horizontal="center" vertical="center"/>
    </xf>
    <xf numFmtId="2" fontId="31" fillId="7" borderId="10" xfId="1" applyNumberFormat="1" applyFont="1" applyFill="1" applyBorder="1" applyAlignment="1" applyProtection="1">
      <alignment horizontal="center" vertical="center"/>
      <protection locked="0"/>
    </xf>
    <xf numFmtId="0" fontId="31" fillId="8" borderId="3" xfId="0" applyFont="1" applyFill="1" applyBorder="1" applyAlignment="1" applyProtection="1">
      <alignment horizontal="center" vertical="center"/>
    </xf>
    <xf numFmtId="4" fontId="31" fillId="9" borderId="3" xfId="1" applyNumberFormat="1" applyFont="1" applyFill="1" applyBorder="1" applyAlignment="1" applyProtection="1">
      <alignment horizontal="center"/>
      <protection locked="0"/>
    </xf>
    <xf numFmtId="4" fontId="31" fillId="16" borderId="5" xfId="1" applyNumberFormat="1" applyFont="1" applyFill="1" applyBorder="1" applyAlignment="1" applyProtection="1">
      <protection locked="0"/>
    </xf>
    <xf numFmtId="4" fontId="30" fillId="16" borderId="10" xfId="0" applyNumberFormat="1" applyFont="1" applyFill="1" applyBorder="1" applyAlignment="1" applyProtection="1">
      <alignment horizontal="right"/>
    </xf>
    <xf numFmtId="4" fontId="31" fillId="7" borderId="5" xfId="1" applyNumberFormat="1" applyFont="1" applyFill="1" applyBorder="1" applyAlignment="1" applyProtection="1">
      <protection locked="0"/>
    </xf>
    <xf numFmtId="4" fontId="30" fillId="7" borderId="10" xfId="0" applyNumberFormat="1" applyFont="1" applyFill="1" applyBorder="1" applyAlignment="1" applyProtection="1">
      <alignment horizontal="right"/>
    </xf>
    <xf numFmtId="4" fontId="32" fillId="7" borderId="10" xfId="0" applyNumberFormat="1" applyFont="1" applyFill="1" applyBorder="1" applyAlignment="1" applyProtection="1">
      <alignment horizontal="right"/>
    </xf>
    <xf numFmtId="4" fontId="31" fillId="7" borderId="14" xfId="1" applyNumberFormat="1" applyFont="1" applyFill="1" applyBorder="1" applyAlignment="1" applyProtection="1">
      <alignment horizontal="center"/>
      <protection locked="0"/>
    </xf>
    <xf numFmtId="4" fontId="29" fillId="11" borderId="10" xfId="0" applyNumberFormat="1" applyFont="1" applyFill="1" applyBorder="1" applyAlignment="1" applyProtection="1">
      <alignment horizontal="right" wrapText="1"/>
    </xf>
    <xf numFmtId="4" fontId="31" fillId="11" borderId="10" xfId="3" applyNumberFormat="1" applyFont="1" applyFill="1" applyBorder="1" applyAlignment="1" applyProtection="1">
      <alignment horizontal="right"/>
    </xf>
    <xf numFmtId="2" fontId="30" fillId="7" borderId="3" xfId="0" applyNumberFormat="1" applyFont="1" applyFill="1" applyBorder="1" applyAlignment="1" applyProtection="1">
      <alignment horizontal="left" vertical="center"/>
    </xf>
    <xf numFmtId="2" fontId="29" fillId="8" borderId="3" xfId="0" applyNumberFormat="1" applyFont="1" applyFill="1" applyBorder="1" applyAlignment="1" applyProtection="1">
      <alignment vertical="center"/>
    </xf>
    <xf numFmtId="2" fontId="31" fillId="17" borderId="3" xfId="0" applyNumberFormat="1" applyFont="1" applyFill="1" applyBorder="1" applyAlignment="1" applyProtection="1">
      <alignment horizontal="right" vertical="center"/>
    </xf>
    <xf numFmtId="2" fontId="32" fillId="7" borderId="3" xfId="0" applyNumberFormat="1" applyFont="1" applyFill="1" applyBorder="1" applyAlignment="1" applyProtection="1">
      <alignment horizontal="left" vertical="center"/>
    </xf>
    <xf numFmtId="2" fontId="31" fillId="8" borderId="3" xfId="0" applyNumberFormat="1" applyFont="1" applyFill="1" applyBorder="1" applyAlignment="1" applyProtection="1">
      <alignment vertical="center"/>
    </xf>
    <xf numFmtId="2" fontId="31" fillId="8" borderId="3" xfId="0" applyNumberFormat="1" applyFont="1" applyFill="1" applyBorder="1" applyAlignment="1" applyProtection="1">
      <alignment horizontal="left" vertical="center"/>
    </xf>
    <xf numFmtId="0" fontId="31" fillId="17" borderId="3" xfId="0" applyFont="1" applyFill="1" applyBorder="1" applyAlignment="1">
      <alignment horizontal="right" vertical="center"/>
    </xf>
    <xf numFmtId="2" fontId="29" fillId="8" borderId="3" xfId="0" applyNumberFormat="1" applyFont="1" applyFill="1" applyBorder="1" applyAlignment="1" applyProtection="1">
      <alignment horizontal="left" vertical="center"/>
    </xf>
    <xf numFmtId="49" fontId="29" fillId="17" borderId="3" xfId="0" applyNumberFormat="1" applyFont="1" applyFill="1" applyBorder="1" applyAlignment="1" applyProtection="1">
      <alignment horizontal="right" vertical="center"/>
    </xf>
    <xf numFmtId="0" fontId="30" fillId="7" borderId="10" xfId="0" applyFont="1" applyFill="1" applyBorder="1" applyAlignment="1" applyProtection="1"/>
    <xf numFmtId="4" fontId="30" fillId="7" borderId="10" xfId="0" applyNumberFormat="1" applyFont="1" applyFill="1" applyBorder="1" applyAlignment="1" applyProtection="1">
      <alignment horizontal="right" wrapText="1"/>
    </xf>
    <xf numFmtId="49" fontId="32" fillId="7" borderId="10" xfId="0" applyNumberFormat="1" applyFont="1" applyFill="1" applyBorder="1" applyAlignment="1" applyProtection="1">
      <alignment vertical="center"/>
    </xf>
    <xf numFmtId="2" fontId="32" fillId="7" borderId="0" xfId="0" applyNumberFormat="1" applyFont="1" applyFill="1" applyBorder="1" applyAlignment="1" applyProtection="1">
      <alignment vertical="center"/>
    </xf>
    <xf numFmtId="2" fontId="31" fillId="7" borderId="0" xfId="0" applyNumberFormat="1" applyFont="1" applyFill="1" applyBorder="1" applyAlignment="1" applyProtection="1">
      <alignment vertical="center"/>
    </xf>
    <xf numFmtId="2" fontId="32" fillId="7" borderId="0" xfId="0" applyNumberFormat="1" applyFont="1" applyFill="1" applyBorder="1" applyAlignment="1" applyProtection="1">
      <alignment horizontal="right" vertical="center"/>
    </xf>
    <xf numFmtId="49" fontId="56" fillId="15" borderId="3" xfId="0" applyNumberFormat="1" applyFont="1" applyFill="1" applyBorder="1" applyAlignment="1">
      <alignment horizontal="center" vertical="center" wrapText="1"/>
    </xf>
    <xf numFmtId="0" fontId="60" fillId="15" borderId="3" xfId="0" applyFont="1" applyFill="1" applyBorder="1" applyAlignment="1">
      <alignment horizontal="center" vertical="center" wrapText="1"/>
    </xf>
    <xf numFmtId="0" fontId="56" fillId="15" borderId="10" xfId="0" applyFont="1" applyFill="1" applyBorder="1" applyAlignment="1">
      <alignment horizontal="center" vertical="center" wrapText="1"/>
    </xf>
    <xf numFmtId="0" fontId="31" fillId="9" borderId="3" xfId="12" applyFont="1" applyFill="1" applyBorder="1" applyAlignment="1">
      <alignment horizontal="center" vertical="center" wrapText="1"/>
    </xf>
    <xf numFmtId="0" fontId="32" fillId="11" borderId="3" xfId="12" applyFont="1" applyFill="1" applyBorder="1" applyAlignment="1">
      <alignment horizontal="justify" vertical="top" wrapText="1"/>
    </xf>
    <xf numFmtId="49" fontId="31" fillId="11" borderId="3" xfId="12" applyNumberFormat="1" applyFont="1" applyFill="1" applyBorder="1" applyAlignment="1">
      <alignment horizontal="left" vertical="top"/>
    </xf>
    <xf numFmtId="0" fontId="30" fillId="7" borderId="10" xfId="0" applyFont="1" applyFill="1" applyBorder="1" applyAlignment="1" applyProtection="1">
      <alignment horizontal="center" vertical="center"/>
    </xf>
    <xf numFmtId="0" fontId="32" fillId="11" borderId="3" xfId="12" applyFont="1" applyFill="1" applyBorder="1" applyAlignment="1">
      <alignment horizontal="center" vertical="center"/>
    </xf>
    <xf numFmtId="49" fontId="30" fillId="7" borderId="3" xfId="0" applyNumberFormat="1" applyFont="1" applyFill="1" applyBorder="1" applyAlignment="1" applyProtection="1">
      <alignment horizontal="left" vertical="center"/>
    </xf>
    <xf numFmtId="0" fontId="30" fillId="7" borderId="3" xfId="0" applyFont="1" applyFill="1" applyBorder="1" applyAlignment="1" applyProtection="1">
      <alignment horizontal="justify" vertical="center" wrapText="1"/>
    </xf>
    <xf numFmtId="0" fontId="31" fillId="17" borderId="3" xfId="0" applyFont="1" applyFill="1" applyBorder="1" applyAlignment="1" applyProtection="1">
      <alignment horizontal="center" vertical="center"/>
    </xf>
    <xf numFmtId="2" fontId="31" fillId="8" borderId="3" xfId="0" applyNumberFormat="1" applyFont="1" applyFill="1" applyBorder="1" applyAlignment="1" applyProtection="1">
      <alignment horizontal="center" vertical="center"/>
    </xf>
    <xf numFmtId="2" fontId="31" fillId="7" borderId="3" xfId="1" applyNumberFormat="1" applyFont="1" applyFill="1" applyBorder="1" applyAlignment="1" applyProtection="1">
      <alignment horizontal="center" vertical="center"/>
      <protection locked="0"/>
    </xf>
    <xf numFmtId="2" fontId="31" fillId="8" borderId="3" xfId="1" applyNumberFormat="1" applyFont="1" applyFill="1" applyBorder="1" applyAlignment="1" applyProtection="1">
      <alignment horizontal="center" vertical="center"/>
      <protection locked="0"/>
    </xf>
    <xf numFmtId="2" fontId="31" fillId="17" borderId="3" xfId="0" applyNumberFormat="1" applyFont="1" applyFill="1" applyBorder="1" applyAlignment="1" applyProtection="1">
      <alignment horizontal="center" vertical="center"/>
    </xf>
    <xf numFmtId="0" fontId="29" fillId="17" borderId="3" xfId="0" applyFont="1" applyFill="1" applyBorder="1" applyAlignment="1" applyProtection="1">
      <alignment horizontal="center" vertical="center"/>
    </xf>
    <xf numFmtId="0" fontId="31" fillId="17" borderId="3" xfId="12" applyFont="1" applyFill="1" applyBorder="1" applyAlignment="1">
      <alignment horizontal="center" vertical="center"/>
    </xf>
    <xf numFmtId="0" fontId="29" fillId="7" borderId="10" xfId="0" applyFont="1" applyFill="1" applyBorder="1" applyAlignment="1" applyProtection="1">
      <alignment horizontal="center"/>
    </xf>
    <xf numFmtId="0" fontId="31" fillId="7" borderId="10" xfId="0" applyFont="1" applyFill="1" applyBorder="1" applyAlignment="1" applyProtection="1">
      <alignment horizontal="center"/>
    </xf>
    <xf numFmtId="0" fontId="31" fillId="17" borderId="3" xfId="12" applyFont="1" applyFill="1" applyBorder="1" applyAlignment="1">
      <alignment horizontal="center" vertical="center" wrapText="1"/>
    </xf>
    <xf numFmtId="165" fontId="31" fillId="17" borderId="3" xfId="0" applyNumberFormat="1" applyFont="1" applyFill="1" applyBorder="1" applyAlignment="1" applyProtection="1">
      <alignment horizontal="justify" vertical="top" wrapText="1"/>
    </xf>
    <xf numFmtId="0" fontId="32" fillId="17" borderId="3" xfId="12" applyFont="1" applyFill="1" applyBorder="1" applyAlignment="1">
      <alignment horizontal="center" vertical="center" wrapText="1"/>
    </xf>
    <xf numFmtId="49" fontId="58" fillId="17" borderId="3" xfId="12" applyNumberFormat="1" applyFont="1" applyFill="1" applyBorder="1" applyAlignment="1">
      <alignment horizontal="right" vertical="top"/>
    </xf>
    <xf numFmtId="4" fontId="31" fillId="17" borderId="3" xfId="12" applyNumberFormat="1" applyFont="1" applyFill="1" applyBorder="1" applyAlignment="1">
      <alignment horizontal="justify" vertical="top" wrapText="1"/>
    </xf>
    <xf numFmtId="4" fontId="31" fillId="17" borderId="3" xfId="12" applyNumberFormat="1" applyFont="1" applyFill="1" applyBorder="1" applyAlignment="1">
      <alignment horizontal="center" vertical="center"/>
    </xf>
    <xf numFmtId="0" fontId="30" fillId="7" borderId="6" xfId="0" applyFont="1" applyFill="1" applyBorder="1" applyAlignment="1" applyProtection="1">
      <alignment vertical="top"/>
    </xf>
    <xf numFmtId="0" fontId="30" fillId="7" borderId="3" xfId="0" applyFont="1" applyFill="1" applyBorder="1" applyAlignment="1" applyProtection="1">
      <alignment horizontal="center"/>
    </xf>
    <xf numFmtId="0" fontId="29" fillId="7" borderId="3" xfId="0" applyFont="1" applyFill="1" applyBorder="1" applyAlignment="1" applyProtection="1">
      <alignment horizontal="center"/>
    </xf>
    <xf numFmtId="2" fontId="29" fillId="7" borderId="5" xfId="4" applyNumberFormat="1" applyFont="1" applyFill="1" applyBorder="1" applyAlignment="1" applyProtection="1">
      <alignment horizontal="center"/>
      <protection locked="0"/>
    </xf>
    <xf numFmtId="0" fontId="31" fillId="0" borderId="0" xfId="0" applyFont="1" applyBorder="1">
      <alignment wrapText="1"/>
    </xf>
    <xf numFmtId="0" fontId="29" fillId="8" borderId="14" xfId="0" applyFont="1" applyFill="1" applyBorder="1" applyAlignment="1" applyProtection="1">
      <alignment vertical="top"/>
    </xf>
    <xf numFmtId="0" fontId="29" fillId="8" borderId="14" xfId="0" applyFont="1" applyFill="1" applyBorder="1" applyAlignment="1" applyProtection="1">
      <alignment horizontal="justify" wrapText="1"/>
    </xf>
    <xf numFmtId="0" fontId="29" fillId="8" borderId="14" xfId="0" applyFont="1" applyFill="1" applyBorder="1" applyAlignment="1" applyProtection="1">
      <alignment horizontal="center"/>
    </xf>
    <xf numFmtId="2" fontId="29" fillId="9" borderId="14" xfId="4" applyNumberFormat="1" applyFont="1" applyFill="1" applyBorder="1" applyAlignment="1" applyProtection="1">
      <alignment horizontal="center"/>
      <protection locked="0"/>
    </xf>
    <xf numFmtId="0" fontId="29" fillId="8" borderId="3" xfId="0" applyFont="1" applyFill="1" applyBorder="1" applyAlignment="1" applyProtection="1">
      <alignment horizontal="justify" vertical="top" wrapText="1"/>
    </xf>
    <xf numFmtId="0" fontId="30" fillId="7" borderId="5" xfId="0" applyFont="1" applyFill="1" applyBorder="1" applyAlignment="1" applyProtection="1">
      <alignment horizontal="justify" vertical="top" wrapText="1"/>
    </xf>
    <xf numFmtId="2" fontId="31" fillId="16" borderId="5" xfId="1" applyNumberFormat="1" applyFont="1" applyFill="1" applyBorder="1" applyAlignment="1" applyProtection="1">
      <alignment vertical="center"/>
      <protection locked="0"/>
    </xf>
    <xf numFmtId="2" fontId="31" fillId="7" borderId="5" xfId="1" applyNumberFormat="1" applyFont="1" applyFill="1" applyBorder="1" applyAlignment="1" applyProtection="1">
      <alignment vertical="center"/>
      <protection locked="0"/>
    </xf>
    <xf numFmtId="4" fontId="31" fillId="9" borderId="10" xfId="12" applyNumberFormat="1" applyFont="1" applyFill="1" applyBorder="1" applyAlignment="1">
      <alignment horizontal="center" vertical="center"/>
    </xf>
    <xf numFmtId="4" fontId="29" fillId="11" borderId="10" xfId="0" applyNumberFormat="1" applyFont="1" applyFill="1" applyBorder="1" applyProtection="1">
      <alignment wrapText="1"/>
    </xf>
    <xf numFmtId="4" fontId="29" fillId="19" borderId="3" xfId="0" applyNumberFormat="1" applyFont="1" applyFill="1" applyBorder="1" applyAlignment="1" applyProtection="1">
      <alignment horizontal="right" wrapText="1"/>
    </xf>
    <xf numFmtId="4" fontId="29" fillId="19" borderId="10" xfId="0" applyNumberFormat="1" applyFont="1" applyFill="1" applyBorder="1" applyAlignment="1" applyProtection="1">
      <alignment horizontal="right" wrapText="1"/>
    </xf>
    <xf numFmtId="4" fontId="29" fillId="0" borderId="0" xfId="0" applyNumberFormat="1" applyFont="1" applyFill="1" applyBorder="1" applyProtection="1">
      <alignment wrapText="1"/>
    </xf>
    <xf numFmtId="4" fontId="30" fillId="0" borderId="0" xfId="0" applyNumberFormat="1" applyFont="1" applyFill="1" applyBorder="1" applyAlignment="1" applyProtection="1">
      <alignment horizontal="right" wrapText="1"/>
    </xf>
    <xf numFmtId="4" fontId="31" fillId="19" borderId="3" xfId="0" applyNumberFormat="1" applyFont="1" applyFill="1" applyBorder="1" applyAlignment="1" applyProtection="1">
      <alignment horizontal="right" wrapText="1"/>
    </xf>
    <xf numFmtId="4" fontId="31" fillId="16" borderId="5" xfId="1" applyNumberFormat="1" applyFont="1" applyFill="1" applyBorder="1" applyAlignment="1" applyProtection="1">
      <alignment horizontal="right"/>
      <protection locked="0"/>
    </xf>
    <xf numFmtId="4" fontId="29" fillId="7" borderId="3" xfId="0" applyNumberFormat="1" applyFont="1" applyFill="1" applyBorder="1" applyAlignment="1" applyProtection="1">
      <alignment horizontal="right"/>
    </xf>
    <xf numFmtId="4" fontId="31" fillId="11" borderId="3" xfId="3" applyNumberFormat="1" applyFont="1" applyFill="1" applyBorder="1" applyAlignment="1" applyProtection="1">
      <alignment horizontal="right" wrapText="1"/>
    </xf>
    <xf numFmtId="4" fontId="31" fillId="11" borderId="3" xfId="0" applyNumberFormat="1" applyFont="1" applyFill="1" applyBorder="1" applyAlignment="1" applyProtection="1">
      <alignment horizontal="right" wrapText="1"/>
    </xf>
    <xf numFmtId="4" fontId="31" fillId="7" borderId="3" xfId="0" applyNumberFormat="1" applyFont="1" applyFill="1" applyBorder="1" applyAlignment="1" applyProtection="1">
      <alignment horizontal="right"/>
    </xf>
    <xf numFmtId="4" fontId="29" fillId="0" borderId="0" xfId="0" applyNumberFormat="1" applyFont="1" applyFill="1" applyBorder="1" applyAlignment="1" applyProtection="1">
      <alignment horizontal="right" wrapText="1"/>
    </xf>
    <xf numFmtId="4" fontId="30" fillId="7" borderId="10" xfId="0" applyNumberFormat="1" applyFont="1" applyFill="1" applyBorder="1" applyAlignment="1" applyProtection="1"/>
    <xf numFmtId="4" fontId="29" fillId="11" borderId="0" xfId="0" applyNumberFormat="1" applyFont="1" applyFill="1" applyBorder="1" applyProtection="1">
      <alignment wrapText="1"/>
    </xf>
    <xf numFmtId="4" fontId="31" fillId="16" borderId="6" xfId="1" applyNumberFormat="1" applyFont="1" applyFill="1" applyBorder="1" applyAlignment="1" applyProtection="1">
      <alignment horizontal="right"/>
      <protection locked="0"/>
    </xf>
    <xf numFmtId="0" fontId="31" fillId="17" borderId="3" xfId="0" applyFont="1" applyFill="1" applyBorder="1" applyAlignment="1">
      <alignment horizontal="center" vertical="center"/>
    </xf>
    <xf numFmtId="4" fontId="31" fillId="0" borderId="3" xfId="1" applyNumberFormat="1" applyFont="1" applyFill="1" applyBorder="1" applyAlignment="1" applyProtection="1">
      <alignment horizontal="center"/>
      <protection locked="0"/>
    </xf>
    <xf numFmtId="49" fontId="58" fillId="11" borderId="3" xfId="12" applyNumberFormat="1" applyFont="1" applyFill="1" applyBorder="1" applyAlignment="1">
      <alignment horizontal="left" vertical="center"/>
    </xf>
    <xf numFmtId="165" fontId="31" fillId="11" borderId="3" xfId="0" applyNumberFormat="1" applyFont="1" applyFill="1" applyBorder="1" applyAlignment="1" applyProtection="1">
      <alignment horizontal="left" vertical="center" wrapText="1"/>
    </xf>
    <xf numFmtId="49" fontId="58" fillId="17" borderId="3" xfId="12" applyNumberFormat="1" applyFont="1" applyFill="1" applyBorder="1" applyAlignment="1">
      <alignment horizontal="right" vertical="center"/>
    </xf>
    <xf numFmtId="4" fontId="31" fillId="17" borderId="3" xfId="7" applyNumberFormat="1" applyFont="1" applyFill="1" applyBorder="1" applyAlignment="1">
      <alignment horizontal="left" vertical="center" wrapText="1"/>
    </xf>
    <xf numFmtId="4" fontId="31" fillId="19" borderId="3" xfId="14" applyNumberFormat="1" applyFont="1" applyFill="1" applyBorder="1" applyAlignment="1">
      <alignment horizontal="center" wrapText="1"/>
    </xf>
    <xf numFmtId="2" fontId="31" fillId="8" borderId="3" xfId="0" applyNumberFormat="1" applyFont="1" applyFill="1" applyBorder="1" applyAlignment="1">
      <alignment horizontal="center" vertical="center"/>
    </xf>
    <xf numFmtId="0" fontId="31" fillId="17" borderId="3" xfId="0" applyFont="1" applyFill="1" applyBorder="1" applyAlignment="1" applyProtection="1">
      <alignment horizontal="left" vertical="top"/>
    </xf>
    <xf numFmtId="2" fontId="31" fillId="17" borderId="3" xfId="1" applyNumberFormat="1" applyFont="1" applyFill="1" applyBorder="1" applyAlignment="1" applyProtection="1">
      <alignment horizontal="center" vertical="center"/>
      <protection locked="0"/>
    </xf>
    <xf numFmtId="0" fontId="29" fillId="8" borderId="3" xfId="0" applyFont="1" applyFill="1" applyBorder="1" applyAlignment="1" applyProtection="1">
      <alignment horizontal="center" vertical="center"/>
    </xf>
    <xf numFmtId="49" fontId="29" fillId="8" borderId="3" xfId="0" applyNumberFormat="1" applyFont="1" applyFill="1" applyBorder="1" applyAlignment="1" applyProtection="1">
      <alignment horizontal="justify" vertical="center"/>
    </xf>
    <xf numFmtId="0" fontId="31" fillId="8" borderId="3" xfId="11" applyFont="1" applyFill="1" applyBorder="1" applyAlignment="1">
      <alignment horizontal="justify" vertical="top" wrapText="1"/>
    </xf>
    <xf numFmtId="0" fontId="31" fillId="8" borderId="3" xfId="0" applyNumberFormat="1" applyFont="1" applyFill="1" applyBorder="1" applyAlignment="1" applyProtection="1">
      <alignment horizontal="center" vertical="center"/>
    </xf>
    <xf numFmtId="0" fontId="31" fillId="8" borderId="3" xfId="0" applyFont="1" applyFill="1" applyBorder="1" applyAlignment="1">
      <alignment horizontal="center" vertical="center"/>
    </xf>
    <xf numFmtId="4" fontId="31" fillId="0" borderId="3" xfId="2" applyNumberFormat="1" applyFont="1" applyFill="1" applyBorder="1" applyAlignment="1" applyProtection="1">
      <alignment horizontal="center" wrapText="1"/>
      <protection locked="0"/>
    </xf>
    <xf numFmtId="0" fontId="30" fillId="17" borderId="3" xfId="0" applyFont="1" applyFill="1" applyBorder="1" applyAlignment="1" applyProtection="1">
      <alignment horizontal="left"/>
    </xf>
    <xf numFmtId="0" fontId="30" fillId="8" borderId="3" xfId="0" applyFont="1" applyFill="1" applyBorder="1" applyAlignment="1" applyProtection="1">
      <alignment horizontal="left"/>
    </xf>
    <xf numFmtId="2" fontId="29" fillId="9" borderId="3" xfId="0" applyNumberFormat="1" applyFont="1" applyFill="1" applyBorder="1" applyAlignment="1" applyProtection="1">
      <alignment horizontal="right" vertical="center"/>
    </xf>
    <xf numFmtId="0" fontId="31" fillId="9" borderId="3" xfId="0" applyFont="1" applyFill="1" applyBorder="1" applyAlignment="1" applyProtection="1">
      <alignment horizontal="center" vertical="center"/>
    </xf>
    <xf numFmtId="0" fontId="30" fillId="9" borderId="0" xfId="0" applyFont="1" applyFill="1" applyBorder="1" applyAlignment="1" applyProtection="1">
      <alignment horizontal="left"/>
    </xf>
    <xf numFmtId="0" fontId="30" fillId="9" borderId="3" xfId="0" applyFont="1" applyFill="1" applyBorder="1" applyAlignment="1" applyProtection="1">
      <alignment horizontal="left"/>
    </xf>
    <xf numFmtId="49" fontId="29" fillId="9" borderId="3" xfId="0" applyNumberFormat="1" applyFont="1" applyFill="1" applyBorder="1" applyAlignment="1" applyProtection="1">
      <alignment horizontal="right" vertical="center"/>
    </xf>
    <xf numFmtId="0" fontId="31" fillId="9" borderId="3" xfId="0" applyFont="1" applyFill="1" applyBorder="1" applyAlignment="1">
      <alignment horizontal="center" vertical="center"/>
    </xf>
    <xf numFmtId="2" fontId="31" fillId="8" borderId="10" xfId="1" applyNumberFormat="1" applyFont="1" applyFill="1" applyBorder="1" applyAlignment="1" applyProtection="1">
      <alignment horizontal="center" vertical="center"/>
      <protection locked="0"/>
    </xf>
    <xf numFmtId="4" fontId="31" fillId="8" borderId="5" xfId="1" applyNumberFormat="1" applyFont="1" applyFill="1" applyBorder="1" applyAlignment="1" applyProtection="1">
      <protection locked="0"/>
    </xf>
    <xf numFmtId="0" fontId="32" fillId="8" borderId="0" xfId="0" applyFont="1" applyFill="1" applyBorder="1" applyAlignment="1" applyProtection="1">
      <alignment horizontal="left"/>
    </xf>
    <xf numFmtId="0" fontId="61" fillId="8" borderId="0" xfId="0" applyFont="1" applyFill="1" applyBorder="1" applyAlignment="1" applyProtection="1">
      <alignment horizontal="left"/>
    </xf>
    <xf numFmtId="0" fontId="61" fillId="8" borderId="3" xfId="0" applyFont="1" applyFill="1" applyBorder="1" applyAlignment="1" applyProtection="1">
      <alignment horizontal="left"/>
    </xf>
    <xf numFmtId="2" fontId="62" fillId="8" borderId="3" xfId="0" applyNumberFormat="1" applyFont="1" applyFill="1" applyBorder="1" applyAlignment="1" applyProtection="1">
      <alignment horizontal="left" vertical="center"/>
    </xf>
    <xf numFmtId="4" fontId="31" fillId="8" borderId="3" xfId="1" applyNumberFormat="1" applyFont="1" applyFill="1" applyBorder="1" applyAlignment="1" applyProtection="1">
      <protection locked="0"/>
    </xf>
    <xf numFmtId="2" fontId="31" fillId="8" borderId="5" xfId="1" applyNumberFormat="1" applyFont="1" applyFill="1" applyBorder="1" applyAlignment="1" applyProtection="1">
      <alignment vertical="center"/>
      <protection locked="0"/>
    </xf>
    <xf numFmtId="2" fontId="31" fillId="9" borderId="10" xfId="1" applyNumberFormat="1" applyFont="1" applyFill="1" applyBorder="1" applyAlignment="1" applyProtection="1">
      <alignment horizontal="center" vertical="center"/>
      <protection locked="0"/>
    </xf>
    <xf numFmtId="4" fontId="31" fillId="9" borderId="3" xfId="1" applyNumberFormat="1" applyFont="1" applyFill="1" applyBorder="1" applyAlignment="1" applyProtection="1">
      <protection locked="0"/>
    </xf>
    <xf numFmtId="2" fontId="62" fillId="9" borderId="3" xfId="0" applyNumberFormat="1" applyFont="1" applyFill="1" applyBorder="1" applyAlignment="1" applyProtection="1">
      <alignment horizontal="right" vertical="center"/>
    </xf>
    <xf numFmtId="0" fontId="32" fillId="9" borderId="0" xfId="0" applyFont="1" applyFill="1" applyBorder="1" applyAlignment="1" applyProtection="1">
      <alignment horizontal="left"/>
    </xf>
    <xf numFmtId="0" fontId="61" fillId="9" borderId="0" xfId="0" applyFont="1" applyFill="1" applyBorder="1" applyAlignment="1" applyProtection="1">
      <alignment horizontal="left"/>
    </xf>
    <xf numFmtId="0" fontId="61" fillId="9" borderId="3" xfId="0" applyFont="1" applyFill="1" applyBorder="1" applyAlignment="1" applyProtection="1">
      <alignment horizontal="left"/>
    </xf>
    <xf numFmtId="2" fontId="31" fillId="9" borderId="3" xfId="0" applyNumberFormat="1" applyFont="1" applyFill="1" applyBorder="1" applyAlignment="1" applyProtection="1">
      <alignment horizontal="right" vertical="center"/>
    </xf>
    <xf numFmtId="4" fontId="31" fillId="8" borderId="3" xfId="1" applyNumberFormat="1" applyFont="1" applyFill="1" applyBorder="1" applyAlignment="1" applyProtection="1">
      <alignment horizontal="center"/>
      <protection locked="0"/>
    </xf>
    <xf numFmtId="0" fontId="57" fillId="8" borderId="3" xfId="0" applyFont="1" applyFill="1" applyBorder="1" applyProtection="1">
      <alignment wrapText="1"/>
    </xf>
    <xf numFmtId="0" fontId="29" fillId="8" borderId="0" xfId="0" applyFont="1" applyFill="1" applyBorder="1" applyProtection="1">
      <alignment wrapText="1"/>
    </xf>
    <xf numFmtId="0" fontId="29" fillId="8" borderId="3" xfId="0" applyFont="1" applyFill="1" applyBorder="1" applyProtection="1">
      <alignment wrapText="1"/>
    </xf>
    <xf numFmtId="2" fontId="31" fillId="8" borderId="3" xfId="1" applyNumberFormat="1" applyFont="1" applyFill="1" applyBorder="1" applyAlignment="1" applyProtection="1">
      <alignment vertical="center"/>
      <protection locked="0"/>
    </xf>
    <xf numFmtId="4" fontId="31" fillId="7" borderId="3" xfId="1" applyNumberFormat="1" applyFont="1" applyFill="1" applyBorder="1" applyAlignment="1" applyProtection="1">
      <alignment horizontal="center"/>
      <protection locked="0"/>
    </xf>
    <xf numFmtId="4" fontId="31" fillId="16" borderId="5" xfId="1" applyNumberFormat="1" applyFont="1" applyFill="1" applyBorder="1" applyAlignment="1" applyProtection="1">
      <alignment horizontal="center"/>
      <protection locked="0"/>
    </xf>
    <xf numFmtId="4" fontId="31" fillId="7" borderId="5" xfId="1" applyNumberFormat="1" applyFont="1" applyFill="1" applyBorder="1" applyAlignment="1" applyProtection="1">
      <alignment horizontal="center"/>
      <protection locked="0"/>
    </xf>
    <xf numFmtId="2" fontId="31" fillId="16" borderId="3" xfId="1" applyNumberFormat="1" applyFont="1" applyFill="1" applyBorder="1" applyAlignment="1" applyProtection="1">
      <alignment horizontal="center" vertical="center"/>
      <protection locked="0"/>
    </xf>
    <xf numFmtId="0" fontId="30" fillId="8" borderId="3" xfId="0" applyFont="1" applyFill="1" applyBorder="1" applyAlignment="1" applyProtection="1">
      <alignment horizontal="center"/>
    </xf>
    <xf numFmtId="0" fontId="29" fillId="7" borderId="5" xfId="0" applyFont="1" applyFill="1" applyBorder="1" applyAlignment="1" applyProtection="1">
      <alignment horizontal="center"/>
    </xf>
    <xf numFmtId="0" fontId="29" fillId="9" borderId="3" xfId="0" applyFont="1" applyFill="1" applyBorder="1" applyAlignment="1" applyProtection="1">
      <alignment horizontal="center"/>
    </xf>
    <xf numFmtId="0" fontId="68" fillId="9" borderId="3" xfId="0" applyFont="1" applyFill="1" applyBorder="1" applyAlignment="1">
      <alignment horizontal="center" vertical="center" wrapText="1"/>
    </xf>
    <xf numFmtId="0" fontId="65" fillId="8" borderId="3" xfId="0" applyFont="1" applyFill="1" applyBorder="1" applyAlignment="1" applyProtection="1">
      <alignment vertical="top"/>
    </xf>
    <xf numFmtId="0" fontId="65" fillId="8" borderId="3" xfId="0" applyFont="1" applyFill="1" applyBorder="1" applyAlignment="1" applyProtection="1">
      <alignment horizontal="justify" vertical="top" wrapText="1"/>
    </xf>
    <xf numFmtId="0" fontId="62" fillId="11" borderId="3" xfId="0" applyFont="1" applyFill="1" applyBorder="1" applyAlignment="1" applyProtection="1">
      <alignment horizontal="justify" vertical="top" wrapText="1"/>
    </xf>
    <xf numFmtId="0" fontId="62" fillId="17" borderId="3" xfId="0" applyNumberFormat="1" applyFont="1" applyFill="1" applyBorder="1" applyAlignment="1" applyProtection="1">
      <alignment horizontal="justify" vertical="top" wrapText="1"/>
    </xf>
    <xf numFmtId="0" fontId="62" fillId="11" borderId="3" xfId="0" applyNumberFormat="1" applyFont="1" applyFill="1" applyBorder="1" applyAlignment="1" applyProtection="1">
      <alignment horizontal="justify" vertical="top" wrapText="1"/>
    </xf>
    <xf numFmtId="0" fontId="62" fillId="11" borderId="3" xfId="0" applyFont="1" applyFill="1" applyBorder="1" applyAlignment="1" applyProtection="1">
      <alignment horizontal="center"/>
    </xf>
    <xf numFmtId="0" fontId="62" fillId="0" borderId="0" xfId="0" applyFont="1">
      <alignment wrapText="1"/>
    </xf>
    <xf numFmtId="4" fontId="69" fillId="7" borderId="3" xfId="0" applyNumberFormat="1" applyFont="1" applyFill="1" applyBorder="1" applyAlignment="1" applyProtection="1">
      <alignment horizontal="left" vertical="center"/>
    </xf>
    <xf numFmtId="4" fontId="69" fillId="7" borderId="3" xfId="0" applyNumberFormat="1" applyFont="1" applyFill="1" applyBorder="1" applyAlignment="1" applyProtection="1">
      <alignment horizontal="right" vertical="center"/>
    </xf>
    <xf numFmtId="0" fontId="65" fillId="11" borderId="3" xfId="0" applyFont="1" applyFill="1" applyBorder="1" applyAlignment="1" applyProtection="1">
      <alignment horizontal="center"/>
    </xf>
    <xf numFmtId="4" fontId="65" fillId="11" borderId="3" xfId="0" applyNumberFormat="1" applyFont="1" applyFill="1" applyBorder="1" applyAlignment="1" applyProtection="1">
      <alignment horizontal="right" wrapText="1"/>
    </xf>
    <xf numFmtId="4" fontId="65" fillId="19" borderId="3" xfId="0" applyNumberFormat="1" applyFont="1" applyFill="1" applyBorder="1" applyAlignment="1" applyProtection="1">
      <alignment horizontal="right" wrapText="1"/>
    </xf>
    <xf numFmtId="2" fontId="62" fillId="9" borderId="3" xfId="0" applyNumberFormat="1" applyFont="1" applyFill="1" applyBorder="1" applyAlignment="1" applyProtection="1">
      <alignment horizontal="center"/>
    </xf>
    <xf numFmtId="0" fontId="62" fillId="17" borderId="3" xfId="0" applyFont="1" applyFill="1" applyBorder="1" applyAlignment="1" applyProtection="1">
      <alignment horizontal="center" vertical="center"/>
    </xf>
    <xf numFmtId="4" fontId="69" fillId="7" borderId="3" xfId="0" applyNumberFormat="1" applyFont="1" applyFill="1" applyBorder="1" applyAlignment="1" applyProtection="1">
      <alignment horizontal="right"/>
    </xf>
    <xf numFmtId="0" fontId="62" fillId="11" borderId="3" xfId="0" applyFont="1" applyFill="1" applyBorder="1" applyAlignment="1" applyProtection="1">
      <alignment horizontal="center" vertical="center"/>
    </xf>
    <xf numFmtId="0" fontId="62" fillId="9" borderId="3" xfId="0" applyFont="1" applyFill="1" applyBorder="1" applyAlignment="1" applyProtection="1">
      <alignment horizontal="center" vertical="center"/>
    </xf>
    <xf numFmtId="49" fontId="70" fillId="7" borderId="8" xfId="0" applyNumberFormat="1" applyFont="1" applyFill="1" applyBorder="1" applyAlignment="1">
      <alignment horizontal="left" vertical="center"/>
    </xf>
    <xf numFmtId="4" fontId="62" fillId="7" borderId="3" xfId="1" applyNumberFormat="1" applyFont="1" applyFill="1" applyBorder="1" applyAlignment="1" applyProtection="1">
      <alignment horizontal="center"/>
      <protection locked="0"/>
    </xf>
    <xf numFmtId="0" fontId="62" fillId="8" borderId="3" xfId="0" applyFont="1" applyFill="1" applyBorder="1" applyAlignment="1" applyProtection="1">
      <alignment horizontal="center" vertical="center"/>
    </xf>
    <xf numFmtId="4" fontId="62" fillId="11" borderId="3" xfId="1" applyNumberFormat="1" applyFont="1" applyFill="1" applyBorder="1" applyAlignment="1" applyProtection="1">
      <alignment horizontal="center"/>
      <protection locked="0"/>
    </xf>
    <xf numFmtId="0" fontId="62" fillId="11" borderId="3" xfId="0" applyFont="1" applyFill="1" applyBorder="1">
      <alignment wrapText="1"/>
    </xf>
    <xf numFmtId="49" fontId="62" fillId="11" borderId="3" xfId="0" applyNumberFormat="1" applyFont="1" applyFill="1" applyBorder="1" applyAlignment="1" applyProtection="1">
      <alignment horizontal="right" vertical="center"/>
    </xf>
    <xf numFmtId="0" fontId="62" fillId="17" borderId="3" xfId="0" applyNumberFormat="1" applyFont="1" applyFill="1" applyBorder="1" applyAlignment="1" applyProtection="1">
      <alignment horizontal="center"/>
    </xf>
    <xf numFmtId="4" fontId="69" fillId="7" borderId="3" xfId="0" applyNumberFormat="1" applyFont="1" applyFill="1" applyBorder="1" applyAlignment="1" applyProtection="1">
      <alignment horizontal="center"/>
    </xf>
    <xf numFmtId="0" fontId="70" fillId="7" borderId="3" xfId="0" applyFont="1" applyFill="1" applyBorder="1" applyAlignment="1" applyProtection="1">
      <alignment horizontal="left" vertical="center"/>
    </xf>
    <xf numFmtId="2" fontId="62" fillId="9" borderId="3" xfId="0" applyNumberFormat="1" applyFont="1" applyFill="1" applyBorder="1" applyAlignment="1">
      <alignment horizontal="center" wrapText="1"/>
    </xf>
    <xf numFmtId="4" fontId="69" fillId="11" borderId="3" xfId="0" applyNumberFormat="1" applyFont="1" applyFill="1" applyBorder="1" applyAlignment="1" applyProtection="1">
      <alignment horizontal="right" vertical="center"/>
    </xf>
    <xf numFmtId="4" fontId="69" fillId="19" borderId="3" xfId="0" applyNumberFormat="1" applyFont="1" applyFill="1" applyBorder="1" applyAlignment="1" applyProtection="1">
      <alignment horizontal="right" vertical="center"/>
    </xf>
    <xf numFmtId="4" fontId="62" fillId="19" borderId="3" xfId="1" applyNumberFormat="1" applyFont="1" applyFill="1" applyBorder="1" applyAlignment="1" applyProtection="1">
      <alignment horizontal="center"/>
      <protection locked="0"/>
    </xf>
    <xf numFmtId="0" fontId="62" fillId="19" borderId="3" xfId="0" applyFont="1" applyFill="1" applyBorder="1">
      <alignment wrapText="1"/>
    </xf>
    <xf numFmtId="4" fontId="69" fillId="11" borderId="3" xfId="0" applyNumberFormat="1" applyFont="1" applyFill="1" applyBorder="1" applyAlignment="1" applyProtection="1">
      <alignment horizontal="right"/>
    </xf>
    <xf numFmtId="4" fontId="69" fillId="19" borderId="3" xfId="0" applyNumberFormat="1" applyFont="1" applyFill="1" applyBorder="1" applyAlignment="1" applyProtection="1">
      <alignment horizontal="right"/>
    </xf>
    <xf numFmtId="2" fontId="70" fillId="7" borderId="15" xfId="0" applyNumberFormat="1" applyFont="1" applyFill="1" applyBorder="1" applyAlignment="1" applyProtection="1">
      <alignment vertical="center"/>
    </xf>
    <xf numFmtId="2" fontId="70" fillId="7" borderId="14" xfId="0" applyNumberFormat="1" applyFont="1" applyFill="1" applyBorder="1" applyAlignment="1" applyProtection="1">
      <alignment vertical="center"/>
    </xf>
    <xf numFmtId="2" fontId="62" fillId="7" borderId="14" xfId="0" applyNumberFormat="1" applyFont="1" applyFill="1" applyBorder="1" applyAlignment="1" applyProtection="1">
      <alignment vertical="center"/>
    </xf>
    <xf numFmtId="2" fontId="70" fillId="7" borderId="14" xfId="0" applyNumberFormat="1" applyFont="1" applyFill="1" applyBorder="1" applyAlignment="1" applyProtection="1">
      <alignment horizontal="right" vertical="center"/>
    </xf>
    <xf numFmtId="0" fontId="69" fillId="14" borderId="12" xfId="0" applyFont="1" applyFill="1" applyBorder="1" applyAlignment="1" applyProtection="1">
      <alignment horizontal="left"/>
    </xf>
    <xf numFmtId="4" fontId="69" fillId="14" borderId="12" xfId="0" applyNumberFormat="1" applyFont="1" applyFill="1" applyBorder="1" applyAlignment="1" applyProtection="1">
      <alignment horizontal="right"/>
    </xf>
    <xf numFmtId="4" fontId="69" fillId="14" borderId="3" xfId="0" applyNumberFormat="1" applyFont="1" applyFill="1" applyBorder="1" applyAlignment="1" applyProtection="1">
      <alignment horizontal="right"/>
    </xf>
    <xf numFmtId="4" fontId="65" fillId="7" borderId="3" xfId="0" applyNumberFormat="1" applyFont="1" applyFill="1" applyBorder="1" applyAlignment="1" applyProtection="1">
      <alignment horizontal="right" wrapText="1"/>
    </xf>
    <xf numFmtId="0" fontId="62" fillId="7" borderId="0" xfId="0" applyFont="1" applyFill="1">
      <alignment wrapText="1"/>
    </xf>
    <xf numFmtId="2" fontId="66" fillId="9" borderId="3" xfId="0" applyNumberFormat="1" applyFont="1" applyFill="1" applyBorder="1" applyAlignment="1" applyProtection="1">
      <alignment horizontal="center"/>
    </xf>
    <xf numFmtId="2" fontId="66" fillId="7" borderId="3" xfId="0" applyNumberFormat="1" applyFont="1" applyFill="1" applyBorder="1" applyAlignment="1" applyProtection="1">
      <alignment horizontal="center"/>
    </xf>
    <xf numFmtId="2" fontId="62" fillId="17" borderId="3" xfId="1" applyNumberFormat="1" applyFont="1" applyFill="1" applyBorder="1" applyAlignment="1" applyProtection="1">
      <alignment horizontal="center" vertical="center"/>
      <protection locked="0"/>
    </xf>
    <xf numFmtId="2" fontId="65" fillId="0" borderId="3" xfId="0" applyNumberFormat="1" applyFont="1" applyFill="1" applyBorder="1" applyAlignment="1" applyProtection="1">
      <alignment horizontal="center"/>
    </xf>
    <xf numFmtId="2" fontId="62" fillId="0" borderId="3" xfId="0" applyNumberFormat="1" applyFont="1" applyFill="1" applyBorder="1" applyAlignment="1">
      <alignment horizontal="center" wrapText="1"/>
    </xf>
    <xf numFmtId="0" fontId="62" fillId="11" borderId="3" xfId="0" applyFont="1" applyFill="1" applyBorder="1" applyAlignment="1">
      <alignment horizontal="right" wrapText="1"/>
    </xf>
    <xf numFmtId="2" fontId="69" fillId="14" borderId="12" xfId="0" applyNumberFormat="1" applyFont="1" applyFill="1" applyBorder="1" applyAlignment="1" applyProtection="1">
      <alignment horizontal="left"/>
    </xf>
    <xf numFmtId="2" fontId="69" fillId="7" borderId="3" xfId="0" applyNumberFormat="1" applyFont="1" applyFill="1" applyBorder="1" applyAlignment="1" applyProtection="1">
      <alignment vertical="center"/>
    </xf>
    <xf numFmtId="2" fontId="67" fillId="9" borderId="3" xfId="0" applyNumberFormat="1" applyFont="1" applyFill="1" applyBorder="1" applyAlignment="1" applyProtection="1">
      <alignment horizontal="center"/>
    </xf>
    <xf numFmtId="2" fontId="69" fillId="7" borderId="3" xfId="0" applyNumberFormat="1" applyFont="1" applyFill="1" applyBorder="1" applyAlignment="1" applyProtection="1">
      <alignment horizontal="center" vertical="center"/>
    </xf>
    <xf numFmtId="2" fontId="69" fillId="7" borderId="3" xfId="0" applyNumberFormat="1" applyFont="1" applyFill="1" applyBorder="1" applyAlignment="1" applyProtection="1">
      <alignment horizontal="center"/>
    </xf>
    <xf numFmtId="2" fontId="69" fillId="9" borderId="3" xfId="0" applyNumberFormat="1" applyFont="1" applyFill="1" applyBorder="1" applyAlignment="1" applyProtection="1">
      <alignment horizontal="center"/>
    </xf>
    <xf numFmtId="2" fontId="62" fillId="0" borderId="0" xfId="0" applyNumberFormat="1" applyFont="1">
      <alignment wrapText="1"/>
    </xf>
    <xf numFmtId="2" fontId="67" fillId="7" borderId="3" xfId="0" applyNumberFormat="1" applyFont="1" applyFill="1" applyBorder="1" applyAlignment="1" applyProtection="1">
      <alignment horizontal="center"/>
    </xf>
    <xf numFmtId="49" fontId="62" fillId="8" borderId="6" xfId="0" applyNumberFormat="1" applyFont="1" applyFill="1" applyBorder="1" applyAlignment="1">
      <alignment horizontal="left" vertical="center"/>
    </xf>
    <xf numFmtId="0" fontId="62" fillId="8" borderId="3" xfId="0" applyFont="1" applyFill="1" applyBorder="1">
      <alignment wrapText="1"/>
    </xf>
    <xf numFmtId="0" fontId="62" fillId="17" borderId="3" xfId="0" applyFont="1" applyFill="1" applyBorder="1" applyAlignment="1">
      <alignment horizontal="right" wrapText="1"/>
    </xf>
    <xf numFmtId="2" fontId="62" fillId="0" borderId="3" xfId="0" applyNumberFormat="1" applyFont="1" applyFill="1" applyBorder="1" applyAlignment="1" applyProtection="1">
      <alignment horizontal="center"/>
    </xf>
    <xf numFmtId="0" fontId="62" fillId="9" borderId="3" xfId="11" applyFont="1" applyFill="1" applyBorder="1" applyAlignment="1">
      <alignment horizontal="justify" vertical="top" wrapText="1"/>
    </xf>
    <xf numFmtId="0" fontId="62" fillId="9" borderId="3" xfId="0" applyFont="1" applyFill="1" applyBorder="1" applyAlignment="1" applyProtection="1">
      <alignment horizontal="justify" wrapText="1"/>
    </xf>
    <xf numFmtId="0" fontId="62" fillId="9" borderId="3" xfId="0" applyFont="1" applyFill="1" applyBorder="1" applyAlignment="1" applyProtection="1">
      <alignment horizontal="justify"/>
    </xf>
    <xf numFmtId="0" fontId="62" fillId="9" borderId="3" xfId="0" applyFont="1" applyFill="1" applyBorder="1" applyAlignment="1">
      <alignment horizontal="justify" vertical="top"/>
    </xf>
    <xf numFmtId="0" fontId="62" fillId="17" borderId="3" xfId="0" applyFont="1" applyFill="1" applyBorder="1" applyAlignment="1" applyProtection="1">
      <alignment vertical="top"/>
    </xf>
    <xf numFmtId="0" fontId="62" fillId="17" borderId="3" xfId="0" applyFont="1" applyFill="1" applyBorder="1" applyAlignment="1" applyProtection="1">
      <alignment horizontal="left"/>
    </xf>
    <xf numFmtId="165" fontId="62" fillId="17" borderId="3" xfId="0" applyNumberFormat="1" applyFont="1" applyFill="1" applyBorder="1" applyAlignment="1" applyProtection="1">
      <alignment horizontal="justify" vertical="top" wrapText="1"/>
    </xf>
    <xf numFmtId="0" fontId="62" fillId="17" borderId="3" xfId="0" applyFont="1" applyFill="1" applyBorder="1" applyAlignment="1">
      <alignment vertical="top" wrapText="1"/>
    </xf>
    <xf numFmtId="0" fontId="62" fillId="17" borderId="3" xfId="0" applyFont="1" applyFill="1" applyBorder="1" applyAlignment="1">
      <alignment wrapText="1"/>
    </xf>
    <xf numFmtId="2" fontId="67" fillId="0" borderId="3" xfId="0" applyNumberFormat="1" applyFont="1" applyFill="1" applyBorder="1" applyAlignment="1" applyProtection="1">
      <alignment horizontal="center"/>
    </xf>
    <xf numFmtId="2" fontId="69" fillId="0" borderId="3" xfId="0" applyNumberFormat="1" applyFont="1" applyFill="1" applyBorder="1" applyAlignment="1" applyProtection="1">
      <alignment horizontal="center"/>
    </xf>
    <xf numFmtId="2" fontId="66" fillId="0" borderId="3" xfId="0" applyNumberFormat="1" applyFont="1" applyFill="1" applyBorder="1" applyAlignment="1" applyProtection="1">
      <alignment horizontal="center"/>
    </xf>
    <xf numFmtId="2" fontId="69" fillId="0" borderId="3" xfId="0" applyNumberFormat="1" applyFont="1" applyFill="1" applyBorder="1" applyAlignment="1" applyProtection="1">
      <alignment horizontal="center" vertical="center"/>
    </xf>
    <xf numFmtId="2" fontId="65" fillId="0" borderId="3" xfId="0" applyNumberFormat="1" applyFont="1" applyFill="1" applyBorder="1" applyAlignment="1" applyProtection="1">
      <alignment horizontal="center" vertical="center"/>
    </xf>
    <xf numFmtId="2" fontId="62" fillId="0" borderId="3" xfId="0" applyNumberFormat="1" applyFont="1" applyFill="1" applyBorder="1" applyAlignment="1">
      <alignment horizontal="center" vertical="center" wrapText="1"/>
    </xf>
    <xf numFmtId="2" fontId="62" fillId="0" borderId="3" xfId="0" applyNumberFormat="1" applyFont="1" applyFill="1" applyBorder="1">
      <alignment wrapText="1"/>
    </xf>
    <xf numFmtId="2" fontId="62" fillId="0" borderId="0" xfId="0" applyNumberFormat="1" applyFont="1" applyFill="1">
      <alignment wrapText="1"/>
    </xf>
    <xf numFmtId="2" fontId="62" fillId="0" borderId="3" xfId="0" applyNumberFormat="1" applyFont="1" applyFill="1" applyBorder="1" applyAlignment="1" applyProtection="1">
      <alignment horizontal="center" vertical="center"/>
    </xf>
    <xf numFmtId="0" fontId="62" fillId="8" borderId="3" xfId="0" applyFont="1" applyFill="1" applyBorder="1" applyAlignment="1" applyProtection="1">
      <alignment horizontal="center"/>
    </xf>
    <xf numFmtId="0" fontId="62" fillId="0" borderId="0" xfId="0" applyFont="1" applyFill="1">
      <alignment wrapText="1"/>
    </xf>
    <xf numFmtId="49" fontId="62" fillId="11" borderId="3" xfId="0" applyNumberFormat="1" applyFont="1" applyFill="1" applyBorder="1" applyAlignment="1" applyProtection="1">
      <alignment horizontal="left" vertical="center"/>
    </xf>
    <xf numFmtId="0" fontId="62" fillId="11" borderId="3" xfId="0" applyNumberFormat="1" applyFont="1" applyFill="1" applyBorder="1" applyAlignment="1" applyProtection="1">
      <alignment horizontal="center"/>
    </xf>
    <xf numFmtId="0" fontId="62" fillId="8" borderId="3" xfId="0" applyFont="1" applyFill="1" applyBorder="1" applyAlignment="1" applyProtection="1">
      <alignment horizontal="justify" vertical="top"/>
    </xf>
    <xf numFmtId="0" fontId="62" fillId="8" borderId="3" xfId="0" applyFont="1" applyFill="1" applyBorder="1" applyAlignment="1">
      <alignment vertical="top" wrapText="1"/>
    </xf>
    <xf numFmtId="0" fontId="70" fillId="7" borderId="3" xfId="0" applyNumberFormat="1" applyFont="1" applyFill="1" applyBorder="1" applyAlignment="1" applyProtection="1">
      <alignment horizontal="justify" vertical="top" wrapText="1"/>
    </xf>
    <xf numFmtId="49" fontId="70" fillId="7" borderId="3" xfId="0" applyNumberFormat="1" applyFont="1" applyFill="1" applyBorder="1" applyAlignment="1" applyProtection="1">
      <alignment horizontal="left" vertical="center"/>
    </xf>
    <xf numFmtId="49" fontId="62" fillId="17" borderId="3" xfId="0" applyNumberFormat="1" applyFont="1" applyFill="1" applyBorder="1" applyAlignment="1" applyProtection="1">
      <alignment horizontal="right" vertical="center"/>
    </xf>
    <xf numFmtId="0" fontId="70" fillId="14" borderId="12" xfId="0" applyFont="1" applyFill="1" applyBorder="1" applyAlignment="1" applyProtection="1">
      <alignment horizontal="left" vertical="center"/>
    </xf>
    <xf numFmtId="49" fontId="62" fillId="11" borderId="3" xfId="0" applyNumberFormat="1" applyFont="1" applyFill="1" applyBorder="1" applyAlignment="1">
      <alignment horizontal="left" vertical="center"/>
    </xf>
    <xf numFmtId="49" fontId="62" fillId="11" borderId="3" xfId="0" applyNumberFormat="1" applyFont="1" applyFill="1" applyBorder="1" applyAlignment="1">
      <alignment horizontal="right" vertical="center"/>
    </xf>
    <xf numFmtId="0" fontId="62" fillId="11" borderId="3" xfId="0" applyFont="1" applyFill="1" applyBorder="1" applyAlignment="1" applyProtection="1">
      <alignment horizontal="left" vertical="center"/>
    </xf>
    <xf numFmtId="0" fontId="62" fillId="8" borderId="3" xfId="0" applyFont="1" applyFill="1" applyBorder="1" applyAlignment="1" applyProtection="1">
      <alignment horizontal="left" vertical="center"/>
    </xf>
    <xf numFmtId="0" fontId="62" fillId="9" borderId="3" xfId="0" applyFont="1" applyFill="1" applyBorder="1" applyAlignment="1" applyProtection="1">
      <alignment horizontal="right" vertical="center"/>
    </xf>
    <xf numFmtId="0" fontId="62" fillId="11" borderId="3" xfId="0" applyFont="1" applyFill="1" applyBorder="1" applyAlignment="1" applyProtection="1">
      <alignment horizontal="right" vertical="center"/>
    </xf>
    <xf numFmtId="49" fontId="62" fillId="11" borderId="3" xfId="0" applyNumberFormat="1" applyFont="1" applyFill="1" applyBorder="1" applyAlignment="1" applyProtection="1">
      <alignment vertical="center"/>
    </xf>
    <xf numFmtId="0" fontId="70" fillId="14" borderId="12" xfId="0" applyFont="1" applyFill="1" applyBorder="1" applyAlignment="1" applyProtection="1">
      <alignment horizontal="left"/>
    </xf>
    <xf numFmtId="0" fontId="70" fillId="7" borderId="3" xfId="0" applyFont="1" applyFill="1" applyBorder="1" applyAlignment="1" applyProtection="1">
      <alignment vertical="center"/>
    </xf>
    <xf numFmtId="0" fontId="70" fillId="7" borderId="3" xfId="0" applyFont="1" applyFill="1" applyBorder="1" applyAlignment="1" applyProtection="1">
      <alignment horizontal="center" vertical="center"/>
    </xf>
    <xf numFmtId="0" fontId="70" fillId="7" borderId="3" xfId="0" applyFont="1" applyFill="1" applyBorder="1" applyAlignment="1" applyProtection="1">
      <alignment horizontal="center"/>
    </xf>
    <xf numFmtId="0" fontId="62" fillId="7" borderId="3" xfId="0" applyNumberFormat="1" applyFont="1" applyFill="1" applyBorder="1" applyAlignment="1" applyProtection="1">
      <alignment horizontal="center"/>
    </xf>
    <xf numFmtId="0" fontId="62" fillId="17" borderId="3" xfId="11" applyFont="1" applyFill="1" applyBorder="1" applyAlignment="1">
      <alignment horizontal="justify" vertical="top" wrapText="1"/>
    </xf>
    <xf numFmtId="0" fontId="62" fillId="0" borderId="3" xfId="0" applyFont="1" applyFill="1" applyBorder="1" applyAlignment="1">
      <alignment horizontal="justify" vertical="justify"/>
    </xf>
    <xf numFmtId="0" fontId="62" fillId="9" borderId="3" xfId="0" applyFont="1" applyFill="1" applyBorder="1" applyAlignment="1" applyProtection="1">
      <alignment horizontal="justify" vertical="top" wrapText="1"/>
    </xf>
    <xf numFmtId="49" fontId="62" fillId="9" borderId="6" xfId="0" applyNumberFormat="1" applyFont="1" applyFill="1" applyBorder="1" applyAlignment="1">
      <alignment horizontal="right" vertical="center"/>
    </xf>
    <xf numFmtId="4" fontId="70" fillId="7" borderId="3" xfId="1" applyNumberFormat="1" applyFont="1" applyFill="1" applyBorder="1" applyAlignment="1" applyProtection="1">
      <alignment horizontal="right"/>
      <protection locked="0"/>
    </xf>
    <xf numFmtId="4" fontId="69" fillId="7" borderId="3" xfId="0" applyNumberFormat="1" applyFont="1" applyFill="1" applyBorder="1" applyAlignment="1" applyProtection="1">
      <alignment horizontal="right" wrapText="1"/>
    </xf>
    <xf numFmtId="4" fontId="29" fillId="11" borderId="3" xfId="0" applyNumberFormat="1" applyFont="1" applyFill="1" applyBorder="1" applyAlignment="1" applyProtection="1">
      <alignment horizontal="right"/>
    </xf>
    <xf numFmtId="4" fontId="29" fillId="19" borderId="3" xfId="0" applyNumberFormat="1" applyFont="1" applyFill="1" applyBorder="1" applyAlignment="1" applyProtection="1">
      <alignment horizontal="right"/>
    </xf>
    <xf numFmtId="4" fontId="31" fillId="11" borderId="3" xfId="0" applyNumberFormat="1" applyFont="1" applyFill="1" applyBorder="1" applyAlignment="1" applyProtection="1">
      <alignment horizontal="right"/>
    </xf>
    <xf numFmtId="4" fontId="31" fillId="19" borderId="3" xfId="0" applyNumberFormat="1" applyFont="1" applyFill="1" applyBorder="1" applyAlignment="1" applyProtection="1">
      <alignment horizontal="right"/>
    </xf>
    <xf numFmtId="0" fontId="31" fillId="9" borderId="3" xfId="0" applyFont="1" applyFill="1" applyBorder="1" applyAlignment="1" applyProtection="1">
      <alignment horizontal="center" wrapText="1"/>
    </xf>
    <xf numFmtId="4" fontId="31" fillId="9" borderId="3" xfId="1" applyNumberFormat="1" applyFont="1" applyFill="1" applyBorder="1" applyAlignment="1" applyProtection="1">
      <alignment horizontal="center" vertical="center"/>
      <protection locked="0"/>
    </xf>
    <xf numFmtId="49" fontId="70" fillId="7" borderId="3" xfId="0" applyNumberFormat="1" applyFont="1" applyFill="1" applyBorder="1" applyAlignment="1" applyProtection="1">
      <alignment horizontal="left"/>
    </xf>
    <xf numFmtId="0" fontId="31" fillId="17" borderId="3" xfId="0" applyFont="1" applyFill="1" applyBorder="1" applyAlignment="1" applyProtection="1">
      <alignment horizontal="left"/>
    </xf>
    <xf numFmtId="0" fontId="31" fillId="17" borderId="3" xfId="11" applyFont="1" applyFill="1" applyBorder="1" applyAlignment="1">
      <alignment horizontal="justify" vertical="top" wrapText="1"/>
    </xf>
    <xf numFmtId="0" fontId="31" fillId="9" borderId="3" xfId="0" applyFont="1" applyFill="1" applyBorder="1" applyAlignment="1" applyProtection="1">
      <alignment horizontal="justify" vertical="top"/>
    </xf>
    <xf numFmtId="2" fontId="31" fillId="16" borderId="10" xfId="1" applyNumberFormat="1" applyFont="1" applyFill="1" applyBorder="1" applyAlignment="1" applyProtection="1">
      <alignment horizontal="center" vertical="center"/>
      <protection locked="0"/>
    </xf>
    <xf numFmtId="0" fontId="31" fillId="0" borderId="0" xfId="0" applyFont="1" applyFill="1" applyBorder="1" applyAlignment="1" applyProtection="1">
      <alignment horizontal="center" wrapText="1"/>
    </xf>
    <xf numFmtId="0" fontId="31" fillId="0" borderId="12" xfId="0" applyFont="1" applyFill="1" applyBorder="1" applyAlignment="1" applyProtection="1">
      <alignment horizontal="center" wrapText="1"/>
    </xf>
    <xf numFmtId="0" fontId="31" fillId="0" borderId="3" xfId="0" applyFont="1" applyFill="1" applyBorder="1" applyAlignment="1" applyProtection="1">
      <alignment horizontal="center" wrapText="1"/>
    </xf>
    <xf numFmtId="0" fontId="31" fillId="0" borderId="3" xfId="0" applyFont="1" applyFill="1" applyBorder="1" applyAlignment="1" applyProtection="1">
      <alignment horizontal="center"/>
    </xf>
    <xf numFmtId="2" fontId="32" fillId="16" borderId="3" xfId="0" applyNumberFormat="1" applyFont="1" applyFill="1" applyBorder="1" applyAlignment="1" applyProtection="1">
      <alignment horizontal="left" vertical="center"/>
    </xf>
    <xf numFmtId="49" fontId="31" fillId="8" borderId="3" xfId="0" applyNumberFormat="1" applyFont="1" applyFill="1" applyBorder="1" applyAlignment="1" applyProtection="1">
      <alignment horizontal="justify" vertical="center"/>
    </xf>
    <xf numFmtId="2" fontId="31" fillId="8" borderId="3" xfId="0" applyNumberFormat="1" applyFont="1" applyFill="1" applyBorder="1" applyAlignment="1" applyProtection="1">
      <alignment horizontal="justify" vertical="center"/>
    </xf>
    <xf numFmtId="49" fontId="31" fillId="17" borderId="3" xfId="0" applyNumberFormat="1" applyFont="1" applyFill="1" applyBorder="1" applyAlignment="1" applyProtection="1">
      <alignment horizontal="right" vertical="center"/>
    </xf>
    <xf numFmtId="2" fontId="31" fillId="17" borderId="3" xfId="0" applyNumberFormat="1" applyFont="1" applyFill="1" applyBorder="1" applyAlignment="1" applyProtection="1">
      <alignment horizontal="left" vertical="center"/>
    </xf>
    <xf numFmtId="2" fontId="31" fillId="0" borderId="0" xfId="0" applyNumberFormat="1" applyFont="1" applyFill="1" applyBorder="1" applyProtection="1">
      <alignment wrapText="1"/>
    </xf>
    <xf numFmtId="2" fontId="31" fillId="0" borderId="12" xfId="0" applyNumberFormat="1" applyFont="1" applyFill="1" applyBorder="1" applyProtection="1">
      <alignment wrapText="1"/>
    </xf>
    <xf numFmtId="2" fontId="31" fillId="0" borderId="3" xfId="0" applyNumberFormat="1" applyFont="1" applyFill="1" applyBorder="1" applyProtection="1">
      <alignment wrapText="1"/>
    </xf>
    <xf numFmtId="2" fontId="31" fillId="0" borderId="3" xfId="0" applyNumberFormat="1" applyFont="1" applyFill="1" applyBorder="1" applyAlignment="1" applyProtection="1">
      <alignment vertical="top"/>
    </xf>
    <xf numFmtId="2" fontId="31" fillId="17" borderId="3" xfId="0" applyNumberFormat="1" applyFont="1" applyFill="1" applyBorder="1" applyAlignment="1">
      <alignment horizontal="center" vertical="center"/>
    </xf>
    <xf numFmtId="0" fontId="31" fillId="17" borderId="3" xfId="0" applyFont="1" applyFill="1" applyBorder="1" applyAlignment="1" applyProtection="1">
      <alignment horizontal="justify"/>
    </xf>
    <xf numFmtId="0" fontId="31" fillId="17" borderId="3" xfId="0" applyFont="1" applyFill="1" applyBorder="1" applyAlignment="1" applyProtection="1">
      <alignment vertical="top"/>
    </xf>
    <xf numFmtId="2" fontId="62" fillId="17" borderId="3" xfId="0" applyNumberFormat="1" applyFont="1" applyFill="1" applyBorder="1" applyAlignment="1">
      <alignment horizontal="justify" vertical="top"/>
    </xf>
    <xf numFmtId="0" fontId="31" fillId="17" borderId="3" xfId="0" applyFont="1" applyFill="1" applyBorder="1" applyProtection="1">
      <alignment wrapText="1"/>
    </xf>
    <xf numFmtId="4" fontId="31" fillId="0" borderId="3" xfId="2" applyNumberFormat="1" applyFont="1" applyFill="1" applyBorder="1" applyAlignment="1" applyProtection="1">
      <alignment horizontal="center"/>
      <protection locked="0"/>
    </xf>
    <xf numFmtId="4" fontId="31" fillId="0" borderId="5" xfId="1" applyNumberFormat="1" applyFont="1" applyFill="1" applyBorder="1" applyAlignment="1" applyProtection="1">
      <alignment horizontal="center"/>
      <protection locked="0"/>
    </xf>
    <xf numFmtId="4" fontId="58" fillId="0" borderId="3" xfId="2" applyNumberFormat="1" applyFont="1" applyFill="1" applyBorder="1" applyAlignment="1" applyProtection="1">
      <alignment horizontal="center"/>
      <protection locked="0"/>
    </xf>
    <xf numFmtId="4" fontId="57" fillId="0" borderId="3" xfId="2" applyNumberFormat="1" applyFont="1" applyFill="1" applyBorder="1" applyAlignment="1" applyProtection="1">
      <alignment horizontal="center"/>
      <protection locked="0"/>
    </xf>
    <xf numFmtId="4" fontId="31" fillId="0" borderId="10" xfId="1" applyNumberFormat="1" applyFont="1" applyFill="1" applyBorder="1" applyAlignment="1" applyProtection="1">
      <alignment horizontal="center"/>
      <protection locked="0"/>
    </xf>
    <xf numFmtId="4" fontId="31" fillId="0" borderId="6" xfId="1" applyNumberFormat="1" applyFont="1" applyFill="1" applyBorder="1" applyAlignment="1" applyProtection="1">
      <alignment horizontal="center"/>
      <protection locked="0"/>
    </xf>
    <xf numFmtId="4" fontId="31" fillId="0" borderId="6" xfId="2" applyNumberFormat="1" applyFont="1" applyFill="1" applyBorder="1" applyAlignment="1" applyProtection="1">
      <alignment horizontal="center"/>
      <protection locked="0"/>
    </xf>
    <xf numFmtId="4" fontId="31" fillId="0" borderId="14" xfId="1" applyNumberFormat="1" applyFont="1" applyFill="1" applyBorder="1" applyAlignment="1" applyProtection="1">
      <alignment horizontal="center"/>
      <protection locked="0"/>
    </xf>
    <xf numFmtId="4" fontId="31" fillId="0" borderId="10" xfId="2" applyNumberFormat="1" applyFont="1" applyFill="1" applyBorder="1" applyAlignment="1" applyProtection="1">
      <alignment horizontal="center"/>
      <protection locked="0"/>
    </xf>
    <xf numFmtId="4" fontId="31" fillId="0" borderId="14" xfId="2" applyNumberFormat="1" applyFont="1" applyFill="1" applyBorder="1" applyAlignment="1" applyProtection="1">
      <alignment horizontal="center"/>
      <protection locked="0"/>
    </xf>
    <xf numFmtId="49" fontId="29" fillId="8" borderId="3" xfId="0" applyNumberFormat="1" applyFont="1" applyFill="1" applyBorder="1" applyAlignment="1" applyProtection="1">
      <alignment horizontal="left" vertical="center"/>
    </xf>
    <xf numFmtId="0" fontId="71" fillId="15" borderId="3" xfId="0" applyFont="1" applyFill="1" applyBorder="1" applyAlignment="1">
      <alignment horizontal="center" vertical="center" wrapText="1"/>
    </xf>
    <xf numFmtId="0" fontId="30" fillId="7" borderId="10" xfId="0" applyFont="1" applyFill="1" applyBorder="1" applyAlignment="1" applyProtection="1">
      <alignment horizontal="center"/>
    </xf>
    <xf numFmtId="0" fontId="71" fillId="15" borderId="11" xfId="0" applyFont="1" applyFill="1" applyBorder="1" applyAlignment="1">
      <alignment horizontal="center" vertical="center" wrapText="1"/>
    </xf>
    <xf numFmtId="0" fontId="32" fillId="14" borderId="3" xfId="0" applyNumberFormat="1" applyFont="1" applyFill="1" applyBorder="1" applyAlignment="1">
      <alignment horizontal="left" vertical="center" wrapText="1"/>
    </xf>
    <xf numFmtId="0" fontId="32" fillId="14" borderId="3" xfId="0" applyFont="1" applyFill="1" applyBorder="1" applyAlignment="1">
      <alignment horizontal="justify" vertical="center" wrapText="1"/>
    </xf>
    <xf numFmtId="0" fontId="32" fillId="14" borderId="10" xfId="0" applyFont="1" applyFill="1" applyBorder="1" applyAlignment="1">
      <alignment horizontal="center" vertical="center" wrapText="1"/>
    </xf>
    <xf numFmtId="0" fontId="32" fillId="14" borderId="5" xfId="0" applyFont="1" applyFill="1" applyBorder="1" applyAlignment="1">
      <alignment vertical="center" wrapText="1"/>
    </xf>
    <xf numFmtId="0" fontId="32" fillId="14" borderId="16" xfId="0" applyFont="1" applyFill="1" applyBorder="1" applyAlignment="1">
      <alignment vertical="center" wrapText="1"/>
    </xf>
    <xf numFmtId="0" fontId="32" fillId="14" borderId="0" xfId="0" applyFont="1" applyFill="1" applyBorder="1" applyAlignment="1">
      <alignment vertical="center" wrapText="1"/>
    </xf>
    <xf numFmtId="2" fontId="32" fillId="14" borderId="0" xfId="0" applyNumberFormat="1" applyFont="1" applyFill="1" applyBorder="1" applyAlignment="1">
      <alignment horizontal="right" vertical="center" wrapText="1"/>
    </xf>
    <xf numFmtId="0" fontId="32" fillId="14" borderId="0" xfId="0" applyFont="1" applyFill="1" applyBorder="1" applyAlignment="1">
      <alignment horizontal="center" vertical="center" wrapText="1"/>
    </xf>
    <xf numFmtId="0" fontId="32" fillId="14" borderId="3" xfId="0" applyFont="1" applyFill="1" applyBorder="1" applyAlignment="1">
      <alignment horizontal="center" vertical="center" wrapText="1"/>
    </xf>
    <xf numFmtId="2" fontId="29" fillId="9" borderId="3" xfId="0" applyNumberFormat="1" applyFont="1" applyFill="1" applyBorder="1" applyAlignment="1" applyProtection="1">
      <alignment horizontal="center" vertical="center"/>
    </xf>
    <xf numFmtId="2" fontId="31" fillId="9" borderId="3" xfId="12" applyNumberFormat="1" applyFont="1" applyFill="1" applyBorder="1" applyAlignment="1">
      <alignment horizontal="center" vertical="center"/>
    </xf>
    <xf numFmtId="2" fontId="31" fillId="9" borderId="3" xfId="14" applyNumberFormat="1" applyFont="1" applyFill="1" applyBorder="1" applyAlignment="1" applyProtection="1">
      <alignment horizontal="center" vertical="center" wrapText="1"/>
    </xf>
    <xf numFmtId="2" fontId="30" fillId="7" borderId="10" xfId="0" applyNumberFormat="1" applyFont="1" applyFill="1" applyBorder="1" applyAlignment="1" applyProtection="1"/>
    <xf numFmtId="2" fontId="31" fillId="9" borderId="10" xfId="12" applyNumberFormat="1" applyFont="1" applyFill="1" applyBorder="1" applyAlignment="1">
      <alignment horizontal="center" vertical="center"/>
    </xf>
    <xf numFmtId="4" fontId="71" fillId="14" borderId="12" xfId="0" applyNumberFormat="1" applyFont="1" applyFill="1" applyBorder="1" applyAlignment="1">
      <alignment vertical="center" wrapText="1"/>
    </xf>
    <xf numFmtId="4" fontId="29" fillId="11" borderId="3" xfId="0" applyNumberFormat="1" applyFont="1" applyFill="1" applyBorder="1" applyAlignment="1" applyProtection="1">
      <alignment horizontal="right" wrapText="1"/>
    </xf>
    <xf numFmtId="4" fontId="30" fillId="7" borderId="3" xfId="0" applyNumberFormat="1" applyFont="1" applyFill="1" applyBorder="1" applyAlignment="1" applyProtection="1">
      <alignment horizontal="right" wrapText="1"/>
    </xf>
    <xf numFmtId="0" fontId="70" fillId="7" borderId="3" xfId="0" applyFont="1" applyFill="1" applyBorder="1" applyAlignment="1" applyProtection="1">
      <alignment horizontal="justify"/>
    </xf>
    <xf numFmtId="0" fontId="31" fillId="7" borderId="3" xfId="0" applyFont="1" applyFill="1" applyBorder="1" applyAlignment="1" applyProtection="1">
      <alignment horizontal="center" vertical="center"/>
    </xf>
    <xf numFmtId="4" fontId="31" fillId="7" borderId="3" xfId="2" applyNumberFormat="1" applyFont="1" applyFill="1" applyBorder="1" applyAlignment="1" applyProtection="1">
      <alignment horizontal="center"/>
      <protection locked="0"/>
    </xf>
    <xf numFmtId="4" fontId="31" fillId="7" borderId="3" xfId="3" applyNumberFormat="1" applyFont="1" applyFill="1" applyBorder="1" applyAlignment="1" applyProtection="1">
      <alignment horizontal="right" wrapText="1"/>
    </xf>
    <xf numFmtId="4" fontId="31" fillId="7" borderId="3" xfId="0" applyNumberFormat="1" applyFont="1" applyFill="1" applyBorder="1" applyAlignment="1" applyProtection="1">
      <alignment horizontal="right" wrapText="1"/>
    </xf>
    <xf numFmtId="4" fontId="31" fillId="7" borderId="10" xfId="3" applyNumberFormat="1" applyFont="1" applyFill="1" applyBorder="1" applyAlignment="1" applyProtection="1">
      <alignment horizontal="right"/>
    </xf>
    <xf numFmtId="0" fontId="29" fillId="7" borderId="3" xfId="0" applyFont="1" applyFill="1" applyBorder="1" applyProtection="1">
      <alignment wrapText="1"/>
    </xf>
    <xf numFmtId="2" fontId="70" fillId="7" borderId="3" xfId="0" applyNumberFormat="1" applyFont="1" applyFill="1" applyBorder="1" applyAlignment="1" applyProtection="1">
      <alignment horizontal="left" vertical="center"/>
    </xf>
    <xf numFmtId="0" fontId="62" fillId="9" borderId="3" xfId="0" applyFont="1" applyFill="1" applyBorder="1" applyAlignment="1" applyProtection="1">
      <alignment horizontal="justify" vertical="top"/>
    </xf>
    <xf numFmtId="0" fontId="29" fillId="0" borderId="3" xfId="0" applyFont="1" applyFill="1" applyBorder="1" applyAlignment="1" applyProtection="1">
      <alignment horizontal="justify" vertical="top" wrapText="1"/>
    </xf>
    <xf numFmtId="0" fontId="31" fillId="0" borderId="10" xfId="0" applyFont="1" applyFill="1" applyBorder="1" applyAlignment="1">
      <alignment horizontal="center" vertical="center" wrapText="1"/>
    </xf>
    <xf numFmtId="49" fontId="31" fillId="0" borderId="3" xfId="12" applyNumberFormat="1" applyFont="1" applyFill="1" applyBorder="1" applyAlignment="1">
      <alignment horizontal="right" vertical="top"/>
    </xf>
    <xf numFmtId="2" fontId="31" fillId="0" borderId="3" xfId="12" applyNumberFormat="1" applyFont="1" applyFill="1" applyBorder="1" applyAlignment="1">
      <alignment horizontal="justify" vertical="top" wrapText="1"/>
    </xf>
    <xf numFmtId="0" fontId="31" fillId="0" borderId="3" xfId="12" applyFont="1" applyFill="1" applyBorder="1" applyAlignment="1">
      <alignment horizontal="center" vertical="center"/>
    </xf>
    <xf numFmtId="0" fontId="31" fillId="0" borderId="10" xfId="12" applyFont="1" applyFill="1" applyBorder="1" applyAlignment="1">
      <alignment horizontal="center" vertical="center"/>
    </xf>
    <xf numFmtId="0" fontId="31" fillId="0" borderId="10" xfId="12" applyFont="1" applyFill="1" applyBorder="1" applyAlignment="1">
      <alignment horizontal="center" vertical="center" wrapText="1"/>
    </xf>
    <xf numFmtId="49" fontId="58" fillId="0" borderId="3" xfId="12" applyNumberFormat="1" applyFont="1" applyFill="1" applyBorder="1" applyAlignment="1">
      <alignment horizontal="right" vertical="top"/>
    </xf>
    <xf numFmtId="165" fontId="31" fillId="0" borderId="3" xfId="0" applyNumberFormat="1" applyFont="1" applyFill="1" applyBorder="1" applyAlignment="1" applyProtection="1">
      <alignment horizontal="justify" vertical="top" wrapText="1"/>
    </xf>
    <xf numFmtId="0" fontId="31" fillId="0" borderId="3" xfId="0" applyFont="1" applyFill="1" applyBorder="1" applyAlignment="1" applyProtection="1">
      <alignment horizontal="center" vertical="center" wrapText="1"/>
    </xf>
    <xf numFmtId="0" fontId="31" fillId="0" borderId="3" xfId="12" applyFont="1" applyFill="1" applyBorder="1" applyAlignment="1">
      <alignment horizontal="center" vertical="center" wrapText="1"/>
    </xf>
    <xf numFmtId="49" fontId="31" fillId="8" borderId="3" xfId="12" applyNumberFormat="1" applyFont="1" applyFill="1" applyBorder="1" applyAlignment="1">
      <alignment horizontal="left" vertical="top"/>
    </xf>
    <xf numFmtId="0" fontId="31" fillId="8" borderId="10" xfId="0" applyFont="1" applyFill="1" applyBorder="1" applyAlignment="1">
      <alignment horizontal="center" vertical="center" wrapText="1"/>
    </xf>
    <xf numFmtId="0" fontId="31" fillId="8" borderId="3" xfId="12" applyFont="1" applyFill="1" applyBorder="1" applyAlignment="1">
      <alignment horizontal="center" vertical="center"/>
    </xf>
    <xf numFmtId="0" fontId="31" fillId="8" borderId="3" xfId="0" applyFont="1" applyFill="1" applyBorder="1" applyAlignment="1">
      <alignment horizontal="center" vertical="center" wrapText="1"/>
    </xf>
    <xf numFmtId="2" fontId="29" fillId="8" borderId="3" xfId="12" applyNumberFormat="1" applyFont="1" applyFill="1" applyBorder="1" applyAlignment="1">
      <alignment horizontal="justify" vertical="top" wrapText="1"/>
    </xf>
    <xf numFmtId="16" fontId="31" fillId="8" borderId="3" xfId="12" applyNumberFormat="1" applyFont="1" applyFill="1" applyBorder="1" applyAlignment="1">
      <alignment horizontal="center" vertical="center"/>
    </xf>
    <xf numFmtId="2" fontId="31" fillId="8" borderId="3" xfId="12" applyNumberFormat="1" applyFont="1" applyFill="1" applyBorder="1" applyAlignment="1">
      <alignment horizontal="justify" vertical="top" wrapText="1"/>
    </xf>
    <xf numFmtId="49" fontId="62" fillId="8" borderId="3" xfId="12" applyNumberFormat="1" applyFont="1" applyFill="1" applyBorder="1" applyAlignment="1">
      <alignment horizontal="left" vertical="top"/>
    </xf>
    <xf numFmtId="0" fontId="62" fillId="8" borderId="3" xfId="12" applyFont="1" applyFill="1" applyBorder="1" applyAlignment="1">
      <alignment horizontal="justify" vertical="top" wrapText="1"/>
    </xf>
    <xf numFmtId="0" fontId="62" fillId="8" borderId="3" xfId="12" applyFont="1" applyFill="1" applyBorder="1" applyAlignment="1">
      <alignment horizontal="center" vertical="center"/>
    </xf>
    <xf numFmtId="0" fontId="31" fillId="8" borderId="3" xfId="12" applyFont="1" applyFill="1" applyBorder="1" applyAlignment="1">
      <alignment horizontal="center" vertical="center" wrapText="1"/>
    </xf>
    <xf numFmtId="0" fontId="31" fillId="8" borderId="10" xfId="12" applyFont="1" applyFill="1" applyBorder="1" applyAlignment="1">
      <alignment horizontal="center" vertical="center"/>
    </xf>
    <xf numFmtId="0" fontId="31" fillId="8" borderId="10" xfId="12" applyFont="1" applyFill="1" applyBorder="1" applyAlignment="1">
      <alignment horizontal="center" vertical="center" wrapText="1"/>
    </xf>
    <xf numFmtId="0" fontId="62" fillId="8" borderId="10" xfId="12" applyFont="1" applyFill="1" applyBorder="1" applyAlignment="1">
      <alignment horizontal="center" vertical="center"/>
    </xf>
    <xf numFmtId="49" fontId="58" fillId="8" borderId="3" xfId="12" applyNumberFormat="1" applyFont="1" applyFill="1" applyBorder="1" applyAlignment="1">
      <alignment horizontal="left" vertical="top"/>
    </xf>
    <xf numFmtId="165" fontId="31" fillId="8" borderId="3" xfId="0" applyNumberFormat="1" applyFont="1" applyFill="1" applyBorder="1" applyAlignment="1" applyProtection="1">
      <alignment horizontal="justify" vertical="top" wrapText="1"/>
    </xf>
    <xf numFmtId="0" fontId="31" fillId="8" borderId="3" xfId="0" applyFont="1" applyFill="1" applyBorder="1" applyAlignment="1" applyProtection="1">
      <alignment horizontal="center" vertical="center" wrapText="1"/>
    </xf>
    <xf numFmtId="0" fontId="31" fillId="9" borderId="3" xfId="0" applyFont="1" applyFill="1" applyBorder="1" applyAlignment="1" applyProtection="1">
      <alignment horizontal="justify"/>
    </xf>
    <xf numFmtId="0" fontId="30" fillId="7" borderId="10" xfId="0" applyFont="1" applyFill="1" applyBorder="1" applyAlignment="1" applyProtection="1">
      <alignment horizontal="center"/>
    </xf>
    <xf numFmtId="0" fontId="65" fillId="8" borderId="3" xfId="0" applyFont="1" applyFill="1" applyBorder="1" applyAlignment="1" applyProtection="1">
      <alignment horizontal="left" vertical="center" wrapText="1"/>
    </xf>
    <xf numFmtId="165" fontId="32" fillId="11" borderId="3" xfId="0" applyNumberFormat="1" applyFont="1" applyFill="1" applyBorder="1" applyAlignment="1" applyProtection="1">
      <alignment horizontal="left" vertical="center" wrapText="1"/>
    </xf>
    <xf numFmtId="0" fontId="70" fillId="11" borderId="3" xfId="12" applyFont="1" applyFill="1" applyBorder="1" applyAlignment="1">
      <alignment horizontal="justify" vertical="top" wrapText="1"/>
    </xf>
    <xf numFmtId="165" fontId="32" fillId="11" borderId="3" xfId="0" applyNumberFormat="1" applyFont="1" applyFill="1" applyBorder="1" applyAlignment="1" applyProtection="1">
      <alignment horizontal="left" vertical="top" wrapText="1"/>
    </xf>
    <xf numFmtId="0" fontId="31" fillId="17" borderId="3" xfId="12" applyFont="1" applyFill="1" applyBorder="1" applyAlignment="1">
      <alignment horizontal="center" wrapText="1"/>
    </xf>
    <xf numFmtId="0" fontId="75" fillId="11" borderId="3" xfId="12" applyFont="1" applyFill="1" applyBorder="1" applyAlignment="1">
      <alignment horizontal="justify" vertical="top" wrapText="1"/>
    </xf>
    <xf numFmtId="4" fontId="31" fillId="9" borderId="3" xfId="12" applyNumberFormat="1" applyFont="1" applyFill="1" applyBorder="1" applyAlignment="1">
      <alignment horizontal="center"/>
    </xf>
    <xf numFmtId="4" fontId="29" fillId="11" borderId="3" xfId="0" applyNumberFormat="1" applyFont="1" applyFill="1" applyBorder="1" applyAlignment="1" applyProtection="1">
      <alignment wrapText="1"/>
    </xf>
    <xf numFmtId="4" fontId="29" fillId="11" borderId="10" xfId="0" applyNumberFormat="1" applyFont="1" applyFill="1" applyBorder="1" applyAlignment="1" applyProtection="1">
      <alignment wrapText="1"/>
    </xf>
    <xf numFmtId="165" fontId="31" fillId="17" borderId="3" xfId="0" applyNumberFormat="1" applyFont="1" applyFill="1" applyBorder="1" applyAlignment="1" applyProtection="1">
      <alignment horizontal="center" vertical="top" wrapText="1"/>
    </xf>
    <xf numFmtId="0" fontId="62" fillId="17" borderId="3" xfId="12" applyFont="1" applyFill="1" applyBorder="1" applyAlignment="1">
      <alignment horizontal="center" vertical="center" wrapText="1"/>
    </xf>
    <xf numFmtId="0" fontId="32" fillId="9" borderId="7" xfId="0" applyFont="1" applyFill="1" applyBorder="1" applyAlignment="1">
      <alignment horizontal="center" vertical="center" wrapText="1"/>
    </xf>
    <xf numFmtId="0" fontId="32" fillId="15" borderId="3" xfId="0" applyFont="1" applyFill="1" applyBorder="1" applyAlignment="1">
      <alignment horizontal="center" vertical="center" wrapText="1"/>
    </xf>
    <xf numFmtId="0" fontId="32" fillId="16" borderId="3" xfId="0" applyFont="1" applyFill="1" applyBorder="1" applyAlignment="1" applyProtection="1">
      <alignment horizontal="left"/>
    </xf>
    <xf numFmtId="0" fontId="31" fillId="8" borderId="3" xfId="0" applyFont="1" applyFill="1" applyBorder="1" applyAlignment="1" applyProtection="1">
      <alignment horizontal="left"/>
    </xf>
    <xf numFmtId="0" fontId="31" fillId="8" borderId="3" xfId="0" applyFont="1" applyFill="1" applyBorder="1" applyAlignment="1" applyProtection="1">
      <alignment horizontal="justify" vertical="top" wrapText="1"/>
    </xf>
    <xf numFmtId="0" fontId="70" fillId="17" borderId="3" xfId="0" applyFont="1" applyFill="1" applyBorder="1" applyAlignment="1" applyProtection="1">
      <alignment horizontal="left"/>
    </xf>
    <xf numFmtId="0" fontId="31" fillId="8" borderId="3" xfId="0" applyFont="1" applyFill="1" applyBorder="1" applyAlignment="1" applyProtection="1">
      <alignment horizontal="justify" vertical="top"/>
    </xf>
    <xf numFmtId="0" fontId="32" fillId="7" borderId="3" xfId="0" applyFont="1" applyFill="1" applyBorder="1" applyAlignment="1" applyProtection="1">
      <alignment horizontal="left"/>
    </xf>
    <xf numFmtId="0" fontId="31" fillId="8" borderId="3" xfId="0" applyFont="1" applyFill="1" applyBorder="1" applyAlignment="1" applyProtection="1">
      <alignment horizontal="justify"/>
    </xf>
    <xf numFmtId="2" fontId="70" fillId="8" borderId="3" xfId="0" applyNumberFormat="1" applyFont="1" applyFill="1" applyBorder="1" applyAlignment="1">
      <alignment horizontal="justify" vertical="top"/>
    </xf>
    <xf numFmtId="0" fontId="31" fillId="8" borderId="3" xfId="0" applyFont="1" applyFill="1" applyBorder="1" applyAlignment="1" applyProtection="1">
      <alignment horizontal="justify" wrapText="1"/>
    </xf>
    <xf numFmtId="0" fontId="31" fillId="8" borderId="3" xfId="0" applyFont="1" applyFill="1" applyBorder="1" applyAlignment="1">
      <alignment horizontal="justify" vertical="top"/>
    </xf>
    <xf numFmtId="165" fontId="70" fillId="8" borderId="3" xfId="0" applyNumberFormat="1" applyFont="1" applyFill="1" applyBorder="1" applyAlignment="1" applyProtection="1">
      <alignment horizontal="justify" vertical="top" wrapText="1"/>
    </xf>
    <xf numFmtId="0" fontId="31" fillId="8" borderId="3" xfId="0" applyFont="1" applyFill="1" applyBorder="1" applyAlignment="1" applyProtection="1">
      <alignment horizontal="left" vertical="top"/>
    </xf>
    <xf numFmtId="0" fontId="62" fillId="8" borderId="3" xfId="0" applyFont="1" applyFill="1" applyBorder="1" applyAlignment="1" applyProtection="1">
      <alignment horizontal="left"/>
    </xf>
    <xf numFmtId="0" fontId="31" fillId="8" borderId="3" xfId="0" applyFont="1" applyFill="1" applyBorder="1" applyAlignment="1">
      <alignment horizontal="justify" vertical="top" wrapText="1"/>
    </xf>
    <xf numFmtId="0" fontId="31" fillId="0" borderId="12" xfId="0" applyFont="1" applyFill="1" applyBorder="1" applyProtection="1">
      <alignment wrapText="1"/>
    </xf>
    <xf numFmtId="0" fontId="31" fillId="0" borderId="3" xfId="0" applyFont="1" applyFill="1" applyBorder="1" applyProtection="1">
      <alignment wrapText="1"/>
    </xf>
    <xf numFmtId="0" fontId="31" fillId="0" borderId="3" xfId="0" applyFont="1" applyFill="1" applyBorder="1" applyAlignment="1" applyProtection="1">
      <alignment horizontal="justify"/>
    </xf>
    <xf numFmtId="0" fontId="31" fillId="9" borderId="3" xfId="0" applyFont="1" applyFill="1" applyBorder="1" applyAlignment="1" applyProtection="1">
      <alignment horizontal="left"/>
    </xf>
    <xf numFmtId="0" fontId="31" fillId="9" borderId="3" xfId="11" applyFont="1" applyFill="1" applyBorder="1" applyAlignment="1">
      <alignment horizontal="justify" vertical="top" wrapText="1"/>
    </xf>
    <xf numFmtId="2" fontId="31" fillId="9" borderId="3" xfId="0" applyNumberFormat="1" applyFont="1" applyFill="1" applyBorder="1" applyAlignment="1">
      <alignment horizontal="justify" vertical="top"/>
    </xf>
    <xf numFmtId="0" fontId="31" fillId="9" borderId="3" xfId="0" applyFont="1" applyFill="1" applyBorder="1" applyAlignment="1" applyProtection="1">
      <alignment horizontal="left" vertical="center"/>
    </xf>
    <xf numFmtId="2" fontId="31" fillId="8" borderId="3" xfId="0" applyNumberFormat="1" applyFont="1" applyFill="1" applyBorder="1" applyAlignment="1" applyProtection="1">
      <alignment vertical="top"/>
    </xf>
    <xf numFmtId="0" fontId="31" fillId="9" borderId="3" xfId="0" applyFont="1" applyFill="1" applyBorder="1" applyAlignment="1">
      <alignment horizontal="justify" vertical="top"/>
    </xf>
    <xf numFmtId="2" fontId="31" fillId="8" borderId="3" xfId="0" applyNumberFormat="1" applyFont="1" applyFill="1" applyBorder="1" applyAlignment="1">
      <alignment horizontal="justify" vertical="top" wrapText="1"/>
    </xf>
    <xf numFmtId="2" fontId="31" fillId="9" borderId="3" xfId="0" applyNumberFormat="1" applyFont="1" applyFill="1" applyBorder="1" applyAlignment="1">
      <alignment horizontal="justify" vertical="top" wrapText="1"/>
    </xf>
    <xf numFmtId="0" fontId="31" fillId="9" borderId="3" xfId="0" applyFont="1" applyFill="1" applyBorder="1" applyProtection="1">
      <alignment wrapText="1"/>
    </xf>
    <xf numFmtId="0" fontId="31" fillId="9" borderId="3" xfId="0" applyFont="1" applyFill="1" applyBorder="1" applyAlignment="1" applyProtection="1">
      <alignment horizontal="left" wrapText="1"/>
    </xf>
    <xf numFmtId="0" fontId="31" fillId="8" borderId="3" xfId="0" applyFont="1" applyFill="1" applyBorder="1" applyAlignment="1" applyProtection="1">
      <alignment horizontal="left" wrapText="1"/>
    </xf>
    <xf numFmtId="0" fontId="62" fillId="11" borderId="3" xfId="0" applyFont="1" applyFill="1" applyBorder="1" applyAlignment="1" applyProtection="1">
      <alignment horizontal="left"/>
    </xf>
    <xf numFmtId="0" fontId="70" fillId="7" borderId="3" xfId="0" applyFont="1" applyFill="1" applyBorder="1" applyAlignment="1" applyProtection="1">
      <alignment horizontal="justify" vertical="center" wrapText="1"/>
    </xf>
    <xf numFmtId="0" fontId="70" fillId="11" borderId="3" xfId="0" applyFont="1" applyFill="1" applyBorder="1" applyAlignment="1" applyProtection="1">
      <alignment horizontal="left"/>
    </xf>
    <xf numFmtId="0" fontId="70" fillId="17" borderId="3" xfId="11" applyFont="1" applyFill="1" applyBorder="1" applyAlignment="1">
      <alignment horizontal="justify" vertical="top" wrapText="1"/>
    </xf>
    <xf numFmtId="0" fontId="70" fillId="11" borderId="3" xfId="0" applyFont="1" applyFill="1" applyBorder="1" applyAlignment="1" applyProtection="1">
      <alignment horizontal="justify" vertical="top"/>
    </xf>
    <xf numFmtId="0" fontId="62" fillId="8" borderId="3" xfId="0" applyFont="1" applyFill="1" applyBorder="1" applyAlignment="1" applyProtection="1">
      <alignment horizontal="justify" wrapText="1"/>
    </xf>
    <xf numFmtId="0" fontId="62" fillId="8" borderId="3" xfId="0" applyFont="1" applyFill="1" applyBorder="1" applyAlignment="1" applyProtection="1">
      <alignment horizontal="justify"/>
    </xf>
    <xf numFmtId="0" fontId="62" fillId="8" borderId="3" xfId="0" applyFont="1" applyFill="1" applyBorder="1" applyAlignment="1">
      <alignment horizontal="justify" vertical="top"/>
    </xf>
    <xf numFmtId="0" fontId="62" fillId="8" borderId="3" xfId="11" applyFont="1" applyFill="1" applyBorder="1" applyAlignment="1">
      <alignment horizontal="justify" vertical="top" wrapText="1"/>
    </xf>
    <xf numFmtId="0" fontId="70" fillId="8" borderId="3" xfId="0" applyFont="1" applyFill="1" applyBorder="1">
      <alignment wrapText="1"/>
    </xf>
    <xf numFmtId="0" fontId="62" fillId="17" borderId="3" xfId="0" applyFont="1" applyFill="1" applyBorder="1" applyAlignment="1" applyProtection="1">
      <alignment horizontal="left" vertical="top"/>
    </xf>
    <xf numFmtId="0" fontId="62" fillId="17" borderId="3" xfId="0" applyFont="1" applyFill="1" applyBorder="1" applyAlignment="1" applyProtection="1">
      <alignment horizontal="justify" vertical="top"/>
    </xf>
    <xf numFmtId="0" fontId="62" fillId="17" borderId="3" xfId="0" applyFont="1" applyFill="1" applyBorder="1" applyAlignment="1" applyProtection="1">
      <alignment horizontal="justify"/>
    </xf>
    <xf numFmtId="0" fontId="70" fillId="11" borderId="3" xfId="0" applyNumberFormat="1" applyFont="1" applyFill="1" applyBorder="1" applyAlignment="1" applyProtection="1">
      <alignment horizontal="justify" vertical="top" wrapText="1"/>
    </xf>
    <xf numFmtId="0" fontId="70" fillId="17" borderId="3" xfId="0" applyNumberFormat="1" applyFont="1" applyFill="1" applyBorder="1" applyAlignment="1" applyProtection="1">
      <alignment horizontal="justify" vertical="top" wrapText="1"/>
    </xf>
    <xf numFmtId="2" fontId="62" fillId="17" borderId="3" xfId="0" applyNumberFormat="1" applyFont="1" applyFill="1" applyBorder="1" applyAlignment="1">
      <alignment horizontal="left" vertical="top" wrapText="1"/>
    </xf>
    <xf numFmtId="0" fontId="62" fillId="8" borderId="0" xfId="0" applyFont="1" applyFill="1" applyAlignment="1">
      <alignment horizontal="justify" vertical="top"/>
    </xf>
    <xf numFmtId="2" fontId="29" fillId="8" borderId="3" xfId="0" applyNumberFormat="1" applyFont="1" applyFill="1" applyBorder="1" applyAlignment="1" applyProtection="1">
      <alignment horizontal="center"/>
    </xf>
    <xf numFmtId="2" fontId="29" fillId="19" borderId="3" xfId="0" applyNumberFormat="1" applyFont="1" applyFill="1" applyBorder="1" applyAlignment="1" applyProtection="1">
      <alignment horizontal="center"/>
    </xf>
    <xf numFmtId="0" fontId="31" fillId="17" borderId="3" xfId="0" applyFont="1" applyFill="1" applyBorder="1" applyAlignment="1" applyProtection="1">
      <alignment horizontal="justify" vertical="top"/>
    </xf>
    <xf numFmtId="49" fontId="31" fillId="9" borderId="3" xfId="0" applyNumberFormat="1" applyFont="1" applyFill="1" applyBorder="1" applyAlignment="1" applyProtection="1">
      <alignment horizontal="right" vertical="center"/>
    </xf>
    <xf numFmtId="0" fontId="31" fillId="9" borderId="3" xfId="0" applyFont="1" applyFill="1" applyBorder="1" applyAlignment="1" applyProtection="1">
      <alignment horizontal="left" vertical="top"/>
    </xf>
    <xf numFmtId="2" fontId="65" fillId="9" borderId="3" xfId="0" applyNumberFormat="1" applyFont="1" applyFill="1" applyBorder="1" applyAlignment="1" applyProtection="1">
      <alignment horizontal="center"/>
    </xf>
    <xf numFmtId="165" fontId="31" fillId="9" borderId="3" xfId="0" applyNumberFormat="1" applyFont="1" applyFill="1" applyBorder="1" applyAlignment="1" applyProtection="1">
      <alignment horizontal="justify" vertical="top" wrapText="1"/>
    </xf>
    <xf numFmtId="2" fontId="32" fillId="7" borderId="15" xfId="0" applyNumberFormat="1" applyFont="1" applyFill="1" applyBorder="1" applyAlignment="1" applyProtection="1">
      <alignment vertical="center"/>
    </xf>
    <xf numFmtId="2" fontId="32" fillId="7" borderId="14" xfId="0" applyNumberFormat="1" applyFont="1" applyFill="1" applyBorder="1" applyAlignment="1" applyProtection="1">
      <alignment vertical="center"/>
    </xf>
    <xf numFmtId="2" fontId="31" fillId="7" borderId="14" xfId="0" applyNumberFormat="1" applyFont="1" applyFill="1" applyBorder="1" applyAlignment="1" applyProtection="1">
      <alignment vertical="center"/>
    </xf>
    <xf numFmtId="2" fontId="32" fillId="7" borderId="14" xfId="0" applyNumberFormat="1" applyFont="1" applyFill="1" applyBorder="1" applyAlignment="1" applyProtection="1">
      <alignment horizontal="right" vertical="center"/>
    </xf>
    <xf numFmtId="0" fontId="31" fillId="0" borderId="0" xfId="0" applyFont="1">
      <alignment wrapText="1"/>
    </xf>
    <xf numFmtId="0" fontId="32" fillId="11" borderId="0" xfId="0" applyFont="1" applyFill="1" applyBorder="1" applyAlignment="1">
      <alignment horizontal="left" vertical="top" wrapText="1"/>
    </xf>
    <xf numFmtId="2" fontId="32" fillId="11" borderId="18" xfId="0" applyNumberFormat="1" applyFont="1" applyFill="1" applyBorder="1" applyAlignment="1">
      <alignment horizontal="center" vertical="center" wrapText="1"/>
    </xf>
    <xf numFmtId="0" fontId="32" fillId="14" borderId="12" xfId="0" applyFont="1" applyFill="1" applyBorder="1" applyAlignment="1" applyProtection="1">
      <alignment horizontal="left" vertical="center"/>
    </xf>
    <xf numFmtId="0" fontId="30" fillId="14" borderId="12" xfId="0" applyFont="1" applyFill="1" applyBorder="1" applyAlignment="1" applyProtection="1">
      <alignment horizontal="left" vertical="center"/>
    </xf>
    <xf numFmtId="0" fontId="32" fillId="14" borderId="12" xfId="0" applyFont="1" applyFill="1" applyBorder="1" applyAlignment="1" applyProtection="1">
      <alignment horizontal="left"/>
    </xf>
    <xf numFmtId="2" fontId="30" fillId="14" borderId="12" xfId="0" applyNumberFormat="1" applyFont="1" applyFill="1" applyBorder="1" applyAlignment="1" applyProtection="1">
      <alignment horizontal="left"/>
    </xf>
    <xf numFmtId="0" fontId="30" fillId="14" borderId="12" xfId="0" applyFont="1" applyFill="1" applyBorder="1" applyAlignment="1" applyProtection="1">
      <alignment horizontal="left"/>
    </xf>
    <xf numFmtId="4" fontId="30" fillId="14" borderId="12" xfId="0" applyNumberFormat="1" applyFont="1" applyFill="1" applyBorder="1" applyAlignment="1" applyProtection="1">
      <alignment horizontal="right"/>
    </xf>
    <xf numFmtId="4" fontId="30" fillId="14" borderId="3" xfId="0" applyNumberFormat="1" applyFont="1" applyFill="1" applyBorder="1" applyAlignment="1" applyProtection="1">
      <alignment horizontal="right"/>
    </xf>
    <xf numFmtId="0" fontId="32" fillId="7" borderId="3" xfId="0" applyFont="1" applyFill="1" applyBorder="1" applyAlignment="1" applyProtection="1">
      <alignment horizontal="left" vertical="center"/>
    </xf>
    <xf numFmtId="0" fontId="30" fillId="7" borderId="3" xfId="0" applyFont="1" applyFill="1" applyBorder="1" applyAlignment="1" applyProtection="1">
      <alignment horizontal="left" vertical="center"/>
    </xf>
    <xf numFmtId="0" fontId="32" fillId="7" borderId="3" xfId="0" applyFont="1" applyFill="1" applyBorder="1" applyAlignment="1" applyProtection="1">
      <alignment horizontal="center" vertical="center"/>
    </xf>
    <xf numFmtId="2" fontId="30" fillId="7" borderId="3" xfId="0" applyNumberFormat="1" applyFont="1" applyFill="1" applyBorder="1" applyAlignment="1" applyProtection="1">
      <alignment horizontal="center" vertical="center"/>
    </xf>
    <xf numFmtId="4" fontId="30" fillId="7" borderId="3" xfId="0" applyNumberFormat="1" applyFont="1" applyFill="1" applyBorder="1" applyAlignment="1" applyProtection="1">
      <alignment horizontal="right" vertical="center"/>
    </xf>
    <xf numFmtId="0" fontId="31" fillId="11" borderId="3" xfId="0" applyFont="1" applyFill="1" applyBorder="1" applyAlignment="1" applyProtection="1">
      <alignment horizontal="left" vertical="center"/>
    </xf>
    <xf numFmtId="2" fontId="29" fillId="0" borderId="3" xfId="0" applyNumberFormat="1" applyFont="1" applyFill="1" applyBorder="1" applyAlignment="1" applyProtection="1">
      <alignment horizontal="center" vertical="center"/>
    </xf>
    <xf numFmtId="4" fontId="29" fillId="11" borderId="3" xfId="0" applyNumberFormat="1" applyFont="1" applyFill="1" applyBorder="1" applyAlignment="1" applyProtection="1">
      <alignment horizontal="right" vertical="center"/>
    </xf>
    <xf numFmtId="0" fontId="31" fillId="11" borderId="3" xfId="0" applyFont="1" applyFill="1" applyBorder="1" applyAlignment="1" applyProtection="1">
      <alignment horizontal="right" vertical="center"/>
    </xf>
    <xf numFmtId="4" fontId="29" fillId="19" borderId="3" xfId="0" applyNumberFormat="1" applyFont="1" applyFill="1" applyBorder="1" applyAlignment="1" applyProtection="1">
      <alignment horizontal="right" vertical="center"/>
    </xf>
    <xf numFmtId="0" fontId="31" fillId="0" borderId="3" xfId="0" applyFont="1" applyFill="1" applyBorder="1" applyAlignment="1">
      <alignment horizontal="justify"/>
    </xf>
    <xf numFmtId="0" fontId="31" fillId="0" borderId="3" xfId="0" applyFont="1" applyBorder="1" applyAlignment="1">
      <alignment horizontal="justify"/>
    </xf>
    <xf numFmtId="0" fontId="31" fillId="17" borderId="3" xfId="0" applyFont="1" applyFill="1" applyBorder="1" applyAlignment="1">
      <alignment wrapText="1"/>
    </xf>
    <xf numFmtId="2" fontId="31" fillId="0" borderId="3" xfId="0" applyNumberFormat="1" applyFont="1" applyFill="1" applyBorder="1" applyAlignment="1" applyProtection="1">
      <alignment horizontal="center" vertical="center"/>
    </xf>
    <xf numFmtId="2" fontId="31" fillId="0" borderId="0" xfId="0" applyNumberFormat="1" applyFont="1">
      <alignment wrapText="1"/>
    </xf>
    <xf numFmtId="0" fontId="32" fillId="0" borderId="0" xfId="0" applyFont="1" applyAlignment="1">
      <alignment horizontal="left" vertical="top" wrapText="1"/>
    </xf>
    <xf numFmtId="0" fontId="31" fillId="0" borderId="3" xfId="0" applyFont="1" applyBorder="1" applyAlignment="1">
      <alignment horizontal="left" vertical="top" wrapText="1"/>
    </xf>
    <xf numFmtId="0" fontId="31" fillId="0" borderId="3" xfId="0" applyFont="1" applyFill="1" applyBorder="1" applyAlignment="1">
      <alignment horizontal="left" vertical="top" wrapText="1"/>
    </xf>
    <xf numFmtId="0" fontId="32" fillId="17" borderId="3" xfId="0" applyFont="1" applyFill="1" applyBorder="1" applyAlignment="1">
      <alignment wrapText="1"/>
    </xf>
    <xf numFmtId="0" fontId="31" fillId="17" borderId="3" xfId="0" applyFont="1" applyFill="1" applyBorder="1" applyAlignment="1">
      <alignment horizontal="justify"/>
    </xf>
    <xf numFmtId="2" fontId="31" fillId="17" borderId="3" xfId="0" applyNumberFormat="1" applyFont="1" applyFill="1" applyBorder="1" applyAlignment="1">
      <alignment horizontal="left" vertical="top" wrapText="1"/>
    </xf>
    <xf numFmtId="2" fontId="31" fillId="0" borderId="3" xfId="0" applyNumberFormat="1" applyFont="1" applyBorder="1" applyAlignment="1">
      <alignment horizontal="left" vertical="top" wrapText="1"/>
    </xf>
    <xf numFmtId="2" fontId="31" fillId="17" borderId="3" xfId="0" applyNumberFormat="1" applyFont="1" applyFill="1" applyBorder="1" applyAlignment="1">
      <alignment horizontal="left" vertical="justify" wrapText="1"/>
    </xf>
    <xf numFmtId="0" fontId="78" fillId="17" borderId="3" xfId="0" applyFont="1" applyFill="1" applyBorder="1" applyAlignment="1" applyProtection="1">
      <alignment horizontal="justify"/>
    </xf>
    <xf numFmtId="0" fontId="31" fillId="14" borderId="5" xfId="0" applyFont="1" applyFill="1" applyBorder="1" applyAlignment="1">
      <alignment horizontal="center" vertical="center" wrapText="1"/>
    </xf>
    <xf numFmtId="0" fontId="32" fillId="14" borderId="3" xfId="0" applyFont="1" applyFill="1" applyBorder="1" applyAlignment="1">
      <alignment horizontal="left" vertical="center" wrapText="1"/>
    </xf>
    <xf numFmtId="4" fontId="32" fillId="14" borderId="6" xfId="0" applyNumberFormat="1" applyFont="1" applyFill="1" applyBorder="1" applyAlignment="1">
      <alignment horizontal="right" wrapText="1"/>
    </xf>
    <xf numFmtId="4" fontId="32" fillId="14" borderId="10" xfId="0" applyNumberFormat="1" applyFont="1" applyFill="1" applyBorder="1" applyAlignment="1">
      <alignment horizontal="right" wrapText="1"/>
    </xf>
    <xf numFmtId="2" fontId="32" fillId="14" borderId="3" xfId="0" applyNumberFormat="1" applyFont="1" applyFill="1" applyBorder="1" applyAlignment="1">
      <alignment horizontal="left" vertical="center" wrapText="1"/>
    </xf>
    <xf numFmtId="0" fontId="31" fillId="14" borderId="3" xfId="0" applyFont="1" applyFill="1" applyBorder="1" applyAlignment="1">
      <alignment horizontal="center" vertical="center" wrapText="1"/>
    </xf>
    <xf numFmtId="0" fontId="71" fillId="15" borderId="18" xfId="0" applyFont="1" applyFill="1" applyBorder="1" applyAlignment="1">
      <alignment horizontal="center" vertical="center" wrapText="1"/>
    </xf>
    <xf numFmtId="0" fontId="71" fillId="15" borderId="3" xfId="0" applyFont="1" applyFill="1" applyBorder="1" applyAlignment="1">
      <alignment horizontal="center" vertical="center" wrapText="1"/>
    </xf>
    <xf numFmtId="0" fontId="70" fillId="15" borderId="17" xfId="0" applyFont="1" applyFill="1" applyBorder="1" applyAlignment="1">
      <alignment horizontal="center" vertical="center" wrapText="1"/>
    </xf>
    <xf numFmtId="0" fontId="70" fillId="15" borderId="18" xfId="0" applyFont="1" applyFill="1" applyBorder="1" applyAlignment="1">
      <alignment horizontal="center" vertical="center" wrapText="1"/>
    </xf>
    <xf numFmtId="0" fontId="31" fillId="8" borderId="5" xfId="0" applyFont="1" applyFill="1" applyBorder="1" applyAlignment="1" applyProtection="1">
      <alignment horizontal="center" vertical="center"/>
    </xf>
    <xf numFmtId="49" fontId="31" fillId="9" borderId="3" xfId="0" applyNumberFormat="1" applyFont="1" applyFill="1" applyBorder="1" applyAlignment="1" applyProtection="1">
      <alignment horizontal="center" vertical="center"/>
    </xf>
    <xf numFmtId="4" fontId="31" fillId="11" borderId="5" xfId="3" applyNumberFormat="1" applyFont="1" applyFill="1" applyBorder="1" applyAlignment="1" applyProtection="1">
      <alignment horizontal="right" wrapText="1"/>
    </xf>
    <xf numFmtId="4" fontId="31" fillId="19" borderId="5" xfId="0" applyNumberFormat="1" applyFont="1" applyFill="1" applyBorder="1" applyAlignment="1" applyProtection="1">
      <alignment horizontal="right" wrapText="1"/>
    </xf>
    <xf numFmtId="0" fontId="31" fillId="17" borderId="10" xfId="0" applyFont="1" applyFill="1" applyBorder="1" applyAlignment="1">
      <alignment horizontal="center" vertical="center"/>
    </xf>
    <xf numFmtId="0" fontId="31" fillId="17" borderId="5" xfId="0" applyFont="1" applyFill="1" applyBorder="1" applyAlignment="1" applyProtection="1">
      <alignment horizontal="center" vertical="center"/>
    </xf>
    <xf numFmtId="49" fontId="70" fillId="7" borderId="14" xfId="0" applyNumberFormat="1" applyFont="1" applyFill="1" applyBorder="1" applyAlignment="1" applyProtection="1">
      <alignment horizontal="center" vertical="center"/>
    </xf>
    <xf numFmtId="49" fontId="31" fillId="14" borderId="3" xfId="0" applyNumberFormat="1" applyFont="1" applyFill="1" applyBorder="1" applyAlignment="1">
      <alignment horizontal="center" vertical="center" wrapText="1"/>
    </xf>
    <xf numFmtId="49" fontId="62" fillId="7" borderId="3" xfId="1" applyNumberFormat="1" applyFont="1" applyFill="1" applyBorder="1" applyAlignment="1" applyProtection="1">
      <alignment horizontal="center" vertical="center"/>
      <protection locked="0"/>
    </xf>
    <xf numFmtId="49" fontId="62" fillId="11" borderId="3" xfId="0" applyNumberFormat="1" applyFont="1" applyFill="1" applyBorder="1" applyAlignment="1">
      <alignment horizontal="center" vertical="center"/>
    </xf>
    <xf numFmtId="49" fontId="62" fillId="11" borderId="3" xfId="0" applyNumberFormat="1" applyFont="1" applyFill="1" applyBorder="1" applyAlignment="1">
      <alignment horizontal="center" vertical="center" wrapText="1"/>
    </xf>
    <xf numFmtId="49" fontId="62" fillId="11" borderId="3" xfId="0" applyNumberFormat="1" applyFont="1" applyFill="1" applyBorder="1" applyAlignment="1" applyProtection="1">
      <alignment horizontal="center" vertical="center" wrapText="1"/>
    </xf>
    <xf numFmtId="49" fontId="62" fillId="17" borderId="3" xfId="0" applyNumberFormat="1" applyFont="1" applyFill="1" applyBorder="1" applyAlignment="1">
      <alignment horizontal="center" vertical="center"/>
    </xf>
    <xf numFmtId="49" fontId="62" fillId="17" borderId="3" xfId="0" applyNumberFormat="1" applyFont="1" applyFill="1" applyBorder="1" applyAlignment="1" applyProtection="1">
      <alignment horizontal="center" vertical="center"/>
    </xf>
    <xf numFmtId="49" fontId="62" fillId="9" borderId="3" xfId="0" applyNumberFormat="1" applyFont="1" applyFill="1" applyBorder="1" applyAlignment="1">
      <alignment horizontal="center" vertical="center"/>
    </xf>
    <xf numFmtId="49" fontId="62" fillId="11" borderId="3" xfId="0" applyNumberFormat="1" applyFont="1" applyFill="1" applyBorder="1" applyAlignment="1" applyProtection="1">
      <alignment horizontal="center" vertical="center"/>
    </xf>
    <xf numFmtId="49" fontId="62" fillId="7" borderId="3" xfId="0" applyNumberFormat="1" applyFont="1" applyFill="1" applyBorder="1" applyAlignment="1" applyProtection="1">
      <alignment horizontal="center" vertical="center"/>
    </xf>
    <xf numFmtId="49" fontId="62" fillId="8" borderId="3" xfId="0" applyNumberFormat="1" applyFont="1" applyFill="1" applyBorder="1" applyAlignment="1" applyProtection="1">
      <alignment horizontal="center" vertical="center"/>
    </xf>
    <xf numFmtId="49" fontId="62" fillId="9" borderId="3" xfId="0" applyNumberFormat="1" applyFont="1" applyFill="1" applyBorder="1" applyAlignment="1" applyProtection="1">
      <alignment horizontal="center" vertical="center"/>
    </xf>
    <xf numFmtId="49" fontId="62" fillId="8" borderId="3" xfId="0" applyNumberFormat="1" applyFont="1" applyFill="1" applyBorder="1" applyAlignment="1" applyProtection="1">
      <alignment horizontal="center"/>
    </xf>
    <xf numFmtId="49" fontId="62" fillId="8" borderId="3" xfId="0" applyNumberFormat="1" applyFont="1" applyFill="1" applyBorder="1" applyAlignment="1">
      <alignment horizontal="center" wrapText="1"/>
    </xf>
    <xf numFmtId="49" fontId="70" fillId="7" borderId="3" xfId="0" applyNumberFormat="1" applyFont="1" applyFill="1" applyBorder="1" applyAlignment="1" applyProtection="1">
      <alignment horizontal="center" vertical="center"/>
    </xf>
    <xf numFmtId="49" fontId="62" fillId="17" borderId="3" xfId="1" applyNumberFormat="1" applyFont="1" applyFill="1" applyBorder="1" applyAlignment="1" applyProtection="1">
      <alignment horizontal="center" vertical="center"/>
      <protection locked="0"/>
    </xf>
    <xf numFmtId="49" fontId="62" fillId="8" borderId="3" xfId="0" applyNumberFormat="1" applyFont="1" applyFill="1" applyBorder="1" applyAlignment="1" applyProtection="1">
      <alignment horizontal="center" wrapText="1"/>
    </xf>
    <xf numFmtId="49" fontId="62" fillId="0" borderId="0" xfId="0" applyNumberFormat="1" applyFont="1">
      <alignment wrapText="1"/>
    </xf>
    <xf numFmtId="49" fontId="62" fillId="8" borderId="3" xfId="0" applyNumberFormat="1" applyFont="1" applyFill="1" applyBorder="1" applyAlignment="1" applyProtection="1">
      <alignment horizontal="center" vertical="center" wrapText="1"/>
    </xf>
    <xf numFmtId="49" fontId="71" fillId="15" borderId="18" xfId="0" applyNumberFormat="1" applyFont="1" applyFill="1" applyBorder="1" applyAlignment="1">
      <alignment horizontal="center" vertical="center" wrapText="1"/>
    </xf>
    <xf numFmtId="0" fontId="62" fillId="0" borderId="0" xfId="0" applyFont="1" applyAlignment="1">
      <alignment horizontal="center" vertical="center" wrapText="1"/>
    </xf>
    <xf numFmtId="0" fontId="70" fillId="20" borderId="9" xfId="0" applyFont="1" applyFill="1" applyBorder="1" applyAlignment="1">
      <alignment horizontal="center" vertical="center" wrapText="1"/>
    </xf>
    <xf numFmtId="0" fontId="70" fillId="20" borderId="4" xfId="0" applyFont="1" applyFill="1" applyBorder="1" applyAlignment="1">
      <alignment horizontal="center" vertical="center" wrapText="1"/>
    </xf>
    <xf numFmtId="49" fontId="71" fillId="20" borderId="4" xfId="0" applyNumberFormat="1" applyFont="1" applyFill="1" applyBorder="1" applyAlignment="1">
      <alignment horizontal="center" vertical="center" wrapText="1"/>
    </xf>
    <xf numFmtId="0" fontId="71" fillId="20" borderId="4" xfId="0" applyFont="1" applyFill="1" applyBorder="1" applyAlignment="1">
      <alignment horizontal="center" vertical="center" wrapText="1"/>
    </xf>
    <xf numFmtId="0" fontId="71" fillId="20" borderId="3" xfId="0" applyFont="1" applyFill="1" applyBorder="1" applyAlignment="1">
      <alignment horizontal="center" vertical="center" wrapText="1"/>
    </xf>
    <xf numFmtId="0" fontId="62" fillId="20" borderId="0" xfId="0" applyFont="1" applyFill="1" applyAlignment="1">
      <alignment horizontal="center" vertical="center" wrapText="1"/>
    </xf>
    <xf numFmtId="2" fontId="56" fillId="15" borderId="3" xfId="0" applyNumberFormat="1" applyFont="1" applyFill="1" applyBorder="1" applyAlignment="1">
      <alignment horizontal="center" vertical="top" wrapText="1"/>
    </xf>
    <xf numFmtId="0" fontId="56" fillId="15" borderId="3" xfId="0" applyFont="1" applyFill="1" applyBorder="1" applyAlignment="1">
      <alignment horizontal="center" vertical="top" wrapText="1"/>
    </xf>
    <xf numFmtId="2" fontId="56" fillId="15" borderId="10" xfId="0" applyNumberFormat="1" applyFont="1" applyFill="1" applyBorder="1" applyAlignment="1">
      <alignment horizontal="center" vertical="top" wrapText="1"/>
    </xf>
    <xf numFmtId="0" fontId="79" fillId="21" borderId="3" xfId="0" applyFont="1" applyFill="1" applyBorder="1" applyAlignment="1">
      <alignment horizontal="center" vertical="top" wrapText="1"/>
    </xf>
    <xf numFmtId="0" fontId="79" fillId="23" borderId="3" xfId="0" applyFont="1" applyFill="1" applyBorder="1" applyAlignment="1">
      <alignment horizontal="center" vertical="top" wrapText="1"/>
    </xf>
    <xf numFmtId="2" fontId="36" fillId="7" borderId="10" xfId="0" applyNumberFormat="1" applyFont="1" applyFill="1" applyBorder="1" applyAlignment="1" applyProtection="1">
      <alignment vertical="center"/>
    </xf>
    <xf numFmtId="2" fontId="32" fillId="7" borderId="10" xfId="0" applyNumberFormat="1" applyFont="1" applyFill="1" applyBorder="1" applyAlignment="1" applyProtection="1">
      <alignment vertical="top"/>
    </xf>
    <xf numFmtId="2" fontId="32" fillId="7" borderId="5" xfId="0" applyNumberFormat="1" applyFont="1" applyFill="1" applyBorder="1" applyAlignment="1" applyProtection="1">
      <alignment vertical="top"/>
    </xf>
    <xf numFmtId="2" fontId="32" fillId="7" borderId="5" xfId="0" applyNumberFormat="1" applyFont="1" applyFill="1" applyBorder="1" applyAlignment="1" applyProtection="1">
      <alignment horizontal="center" vertical="top"/>
    </xf>
    <xf numFmtId="2" fontId="68" fillId="22" borderId="3" xfId="0" applyNumberFormat="1" applyFont="1" applyFill="1" applyBorder="1" applyAlignment="1" applyProtection="1">
      <alignment horizontal="center" vertical="top" wrapText="1"/>
    </xf>
    <xf numFmtId="0" fontId="31" fillId="7" borderId="3" xfId="0" applyFont="1" applyFill="1" applyBorder="1" applyAlignment="1" applyProtection="1">
      <alignment vertical="top" wrapText="1"/>
    </xf>
    <xf numFmtId="2" fontId="31" fillId="7" borderId="5" xfId="0" applyNumberFormat="1" applyFont="1" applyFill="1" applyBorder="1" applyAlignment="1" applyProtection="1">
      <alignment vertical="top"/>
    </xf>
    <xf numFmtId="2" fontId="32" fillId="7" borderId="5" xfId="0" applyNumberFormat="1" applyFont="1" applyFill="1" applyBorder="1" applyAlignment="1" applyProtection="1">
      <alignment horizontal="right" vertical="top"/>
    </xf>
    <xf numFmtId="2" fontId="31" fillId="11" borderId="3" xfId="0" applyNumberFormat="1" applyFont="1" applyFill="1" applyBorder="1" applyAlignment="1">
      <alignment horizontal="left" vertical="center" wrapText="1"/>
    </xf>
    <xf numFmtId="0" fontId="32" fillId="9" borderId="8" xfId="0" applyFont="1" applyFill="1" applyBorder="1" applyAlignment="1">
      <alignment vertical="center" wrapText="1"/>
    </xf>
    <xf numFmtId="0" fontId="60" fillId="9" borderId="0" xfId="0" applyFont="1" applyFill="1" applyAlignment="1"/>
    <xf numFmtId="4" fontId="31" fillId="11" borderId="7" xfId="0" applyNumberFormat="1" applyFont="1" applyFill="1" applyBorder="1" applyAlignment="1">
      <alignment horizontal="right" vertical="center" wrapText="1"/>
    </xf>
    <xf numFmtId="0" fontId="32" fillId="17" borderId="0" xfId="0" applyFont="1" applyFill="1" applyBorder="1" applyAlignment="1">
      <alignment horizontal="left" vertical="center"/>
    </xf>
    <xf numFmtId="2" fontId="32" fillId="17" borderId="0" xfId="0" applyNumberFormat="1" applyFont="1" applyFill="1" applyBorder="1" applyAlignment="1">
      <alignment horizontal="left" vertical="center" wrapText="1"/>
    </xf>
    <xf numFmtId="2" fontId="32" fillId="17" borderId="0" xfId="0" applyNumberFormat="1" applyFont="1" applyFill="1" applyBorder="1" applyAlignment="1">
      <alignment horizontal="left" vertical="center"/>
    </xf>
    <xf numFmtId="0" fontId="32" fillId="9" borderId="6" xfId="0" applyFont="1" applyFill="1" applyBorder="1" applyAlignment="1">
      <alignment horizontal="left" vertical="center"/>
    </xf>
    <xf numFmtId="0" fontId="32" fillId="9" borderId="3" xfId="0" applyFont="1" applyFill="1" applyBorder="1" applyAlignment="1">
      <alignment horizontal="left" vertical="center"/>
    </xf>
    <xf numFmtId="0" fontId="32" fillId="11" borderId="3" xfId="0" applyFont="1" applyFill="1" applyBorder="1" applyAlignment="1">
      <alignment horizontal="left" vertical="center"/>
    </xf>
    <xf numFmtId="0" fontId="60" fillId="17" borderId="0" xfId="0" applyFont="1" applyFill="1" applyBorder="1" applyAlignment="1">
      <alignment horizontal="center" vertical="center"/>
    </xf>
    <xf numFmtId="2" fontId="60" fillId="17" borderId="0" xfId="0" applyNumberFormat="1" applyFont="1" applyFill="1" applyBorder="1" applyAlignment="1">
      <alignment horizontal="center" vertical="center" wrapText="1"/>
    </xf>
    <xf numFmtId="2" fontId="60" fillId="17" borderId="0" xfId="0" applyNumberFormat="1" applyFont="1" applyFill="1" applyBorder="1" applyAlignment="1">
      <alignment horizontal="center" vertical="center"/>
    </xf>
    <xf numFmtId="0" fontId="60" fillId="17" borderId="0" xfId="0" applyFont="1" applyFill="1" applyBorder="1" applyAlignment="1">
      <alignment vertical="center"/>
    </xf>
    <xf numFmtId="0" fontId="60" fillId="9" borderId="6" xfId="0" applyFont="1" applyFill="1" applyBorder="1" applyAlignment="1">
      <alignment vertical="center"/>
    </xf>
    <xf numFmtId="0" fontId="60" fillId="9" borderId="3" xfId="0" applyFont="1" applyFill="1" applyBorder="1" applyAlignment="1">
      <alignment vertical="center"/>
    </xf>
    <xf numFmtId="0" fontId="60" fillId="7" borderId="3" xfId="0" applyFont="1" applyFill="1" applyBorder="1" applyAlignment="1">
      <alignment vertical="center"/>
    </xf>
    <xf numFmtId="0" fontId="32" fillId="7" borderId="22" xfId="0" applyFont="1" applyFill="1" applyBorder="1" applyAlignment="1">
      <alignment horizontal="right" vertical="center" wrapText="1"/>
    </xf>
    <xf numFmtId="4" fontId="32" fillId="7" borderId="7" xfId="0" applyNumberFormat="1" applyFont="1" applyFill="1" applyBorder="1" applyAlignment="1">
      <alignment horizontal="right" vertical="center" wrapText="1"/>
    </xf>
    <xf numFmtId="2" fontId="32" fillId="7" borderId="14" xfId="0" applyNumberFormat="1" applyFont="1" applyFill="1" applyBorder="1" applyAlignment="1" applyProtection="1">
      <alignment horizontal="center" vertical="center"/>
    </xf>
    <xf numFmtId="0" fontId="32" fillId="0" borderId="15" xfId="0" applyFont="1" applyBorder="1" applyAlignment="1">
      <alignment horizontal="left" vertical="top" wrapText="1"/>
    </xf>
    <xf numFmtId="0" fontId="32" fillId="0" borderId="21" xfId="0" applyFont="1" applyFill="1" applyBorder="1" applyAlignment="1">
      <alignment horizontal="left" vertical="top" wrapText="1"/>
    </xf>
    <xf numFmtId="2" fontId="32" fillId="9" borderId="18" xfId="0" applyNumberFormat="1" applyFont="1" applyFill="1" applyBorder="1" applyAlignment="1">
      <alignment horizontal="center" vertical="center" wrapText="1"/>
    </xf>
    <xf numFmtId="0" fontId="32" fillId="0" borderId="0" xfId="0" applyFont="1" applyBorder="1" applyAlignment="1">
      <alignment horizontal="left" vertical="top" wrapText="1"/>
    </xf>
    <xf numFmtId="0" fontId="32" fillId="7" borderId="3" xfId="0" applyFont="1" applyFill="1" applyBorder="1" applyAlignment="1" applyProtection="1">
      <alignment vertical="center"/>
    </xf>
    <xf numFmtId="2" fontId="30" fillId="7" borderId="3" xfId="0" applyNumberFormat="1" applyFont="1" applyFill="1" applyBorder="1" applyAlignment="1" applyProtection="1">
      <alignment vertical="center"/>
    </xf>
    <xf numFmtId="4" fontId="30" fillId="7" borderId="3" xfId="0" applyNumberFormat="1" applyFont="1" applyFill="1" applyBorder="1" applyAlignment="1" applyProtection="1">
      <alignment horizontal="left" vertical="center"/>
    </xf>
    <xf numFmtId="49" fontId="31" fillId="11" borderId="3" xfId="0" applyNumberFormat="1" applyFont="1" applyFill="1" applyBorder="1" applyAlignment="1">
      <alignment horizontal="left" vertical="center"/>
    </xf>
    <xf numFmtId="0" fontId="31" fillId="11" borderId="3" xfId="0" applyFont="1" applyFill="1" applyBorder="1" applyAlignment="1" applyProtection="1">
      <alignment horizontal="justify" vertical="top" wrapText="1"/>
    </xf>
    <xf numFmtId="0" fontId="31" fillId="11" borderId="3" xfId="0" applyFont="1" applyFill="1" applyBorder="1" applyAlignment="1" applyProtection="1">
      <alignment horizontal="center" vertical="center" wrapText="1"/>
    </xf>
    <xf numFmtId="0" fontId="31" fillId="11" borderId="3" xfId="0" applyFont="1" applyFill="1" applyBorder="1" applyAlignment="1" applyProtection="1">
      <alignment horizontal="center"/>
    </xf>
    <xf numFmtId="2" fontId="31" fillId="0" borderId="3" xfId="0" applyNumberFormat="1" applyFont="1" applyFill="1" applyBorder="1" applyAlignment="1" applyProtection="1">
      <alignment horizontal="center"/>
    </xf>
    <xf numFmtId="49" fontId="31" fillId="11" borderId="3" xfId="0" applyNumberFormat="1" applyFont="1" applyFill="1" applyBorder="1" applyAlignment="1">
      <alignment horizontal="right" vertical="center"/>
    </xf>
    <xf numFmtId="0" fontId="32" fillId="7" borderId="3" xfId="0" applyFont="1" applyFill="1" applyBorder="1" applyAlignment="1" applyProtection="1">
      <alignment horizontal="justify" vertical="center" wrapText="1"/>
    </xf>
    <xf numFmtId="0" fontId="31" fillId="11" borderId="3" xfId="0" applyFont="1" applyFill="1" applyBorder="1" applyAlignment="1" applyProtection="1">
      <alignment horizontal="left"/>
    </xf>
    <xf numFmtId="0" fontId="31" fillId="11" borderId="3" xfId="0" applyFont="1" applyFill="1" applyBorder="1" applyAlignment="1">
      <alignment horizontal="center" vertical="center"/>
    </xf>
    <xf numFmtId="0" fontId="31" fillId="11" borderId="3" xfId="0" applyFont="1" applyFill="1" applyBorder="1" applyAlignment="1" applyProtection="1">
      <alignment horizontal="center" vertical="center"/>
    </xf>
    <xf numFmtId="2" fontId="29" fillId="0" borderId="3" xfId="0" applyNumberFormat="1" applyFont="1" applyFill="1" applyBorder="1" applyAlignment="1" applyProtection="1">
      <alignment horizontal="center"/>
    </xf>
    <xf numFmtId="0" fontId="32" fillId="11" borderId="3" xfId="0" applyFont="1" applyFill="1" applyBorder="1" applyAlignment="1" applyProtection="1">
      <alignment horizontal="left"/>
    </xf>
    <xf numFmtId="0" fontId="32" fillId="17" borderId="3" xfId="0" applyFont="1" applyFill="1" applyBorder="1" applyAlignment="1" applyProtection="1">
      <alignment horizontal="left"/>
    </xf>
    <xf numFmtId="0" fontId="32" fillId="11" borderId="3" xfId="0" applyFont="1" applyFill="1" applyBorder="1" applyAlignment="1" applyProtection="1">
      <alignment horizontal="justify" vertical="top"/>
    </xf>
    <xf numFmtId="0" fontId="31" fillId="0" borderId="3" xfId="0" applyFont="1" applyFill="1" applyBorder="1" applyAlignment="1" applyProtection="1">
      <alignment horizontal="left"/>
    </xf>
    <xf numFmtId="0" fontId="31" fillId="0" borderId="3" xfId="0" applyFont="1" applyFill="1" applyBorder="1" applyAlignment="1">
      <alignment horizontal="center" vertical="center"/>
    </xf>
    <xf numFmtId="0" fontId="31" fillId="0" borderId="3" xfId="0" applyFont="1" applyFill="1" applyBorder="1" applyAlignment="1" applyProtection="1">
      <alignment horizontal="center" vertical="center"/>
    </xf>
    <xf numFmtId="2" fontId="57" fillId="0" borderId="3" xfId="0" applyNumberFormat="1" applyFont="1" applyFill="1" applyBorder="1" applyAlignment="1" applyProtection="1">
      <alignment horizontal="center"/>
    </xf>
    <xf numFmtId="0" fontId="32" fillId="7" borderId="3" xfId="0" applyFont="1" applyFill="1" applyBorder="1" applyAlignment="1" applyProtection="1">
      <alignment horizontal="center"/>
    </xf>
    <xf numFmtId="2" fontId="30" fillId="7" borderId="3" xfId="0" applyNumberFormat="1" applyFont="1" applyFill="1" applyBorder="1" applyAlignment="1" applyProtection="1">
      <alignment horizontal="center"/>
    </xf>
    <xf numFmtId="4" fontId="30" fillId="7" borderId="3" xfId="0" applyNumberFormat="1" applyFont="1" applyFill="1" applyBorder="1" applyAlignment="1" applyProtection="1">
      <alignment horizontal="right"/>
    </xf>
    <xf numFmtId="49" fontId="31" fillId="0" borderId="3" xfId="0" applyNumberFormat="1" applyFont="1" applyFill="1" applyBorder="1" applyAlignment="1">
      <alignment horizontal="right" vertical="center"/>
    </xf>
    <xf numFmtId="0" fontId="31" fillId="0" borderId="3" xfId="0" applyFont="1" applyFill="1" applyBorder="1" applyAlignment="1">
      <alignment horizontal="justify" vertical="justify"/>
    </xf>
    <xf numFmtId="0" fontId="31" fillId="0" borderId="0" xfId="0" applyFont="1" applyFill="1" applyAlignment="1">
      <alignment horizontal="center" wrapText="1"/>
    </xf>
    <xf numFmtId="0" fontId="31" fillId="9" borderId="3" xfId="0" applyFont="1" applyFill="1" applyBorder="1" applyAlignment="1" applyProtection="1">
      <alignment horizontal="justify" vertical="top" wrapText="1"/>
    </xf>
    <xf numFmtId="0" fontId="31" fillId="9" borderId="3" xfId="0" applyFont="1" applyFill="1" applyBorder="1" applyAlignment="1" applyProtection="1">
      <alignment horizontal="center"/>
    </xf>
    <xf numFmtId="0" fontId="31" fillId="8" borderId="3" xfId="0" applyFont="1" applyFill="1" applyBorder="1" applyAlignment="1" applyProtection="1">
      <alignment horizontal="left" vertical="center"/>
    </xf>
    <xf numFmtId="2" fontId="30" fillId="0" borderId="3" xfId="0" applyNumberFormat="1" applyFont="1" applyFill="1" applyBorder="1" applyAlignment="1" applyProtection="1">
      <alignment horizontal="center"/>
    </xf>
    <xf numFmtId="4" fontId="30" fillId="11" borderId="3" xfId="0" applyNumberFormat="1" applyFont="1" applyFill="1" applyBorder="1" applyAlignment="1" applyProtection="1">
      <alignment horizontal="right"/>
    </xf>
    <xf numFmtId="0" fontId="31" fillId="9" borderId="3" xfId="0" applyFont="1" applyFill="1" applyBorder="1" applyAlignment="1" applyProtection="1">
      <alignment horizontal="right" vertical="center"/>
    </xf>
    <xf numFmtId="4" fontId="30" fillId="19" borderId="3" xfId="0" applyNumberFormat="1" applyFont="1" applyFill="1" applyBorder="1" applyAlignment="1" applyProtection="1">
      <alignment horizontal="right"/>
    </xf>
    <xf numFmtId="0" fontId="31" fillId="9" borderId="3" xfId="0" applyFont="1" applyFill="1" applyBorder="1" applyAlignment="1" applyProtection="1">
      <alignment horizontal="justify" wrapText="1"/>
    </xf>
    <xf numFmtId="0" fontId="31" fillId="8" borderId="3" xfId="0" applyFont="1" applyFill="1" applyBorder="1" applyAlignment="1" applyProtection="1">
      <alignment horizontal="center"/>
    </xf>
    <xf numFmtId="49" fontId="32" fillId="7" borderId="8" xfId="0" applyNumberFormat="1" applyFont="1" applyFill="1" applyBorder="1" applyAlignment="1">
      <alignment horizontal="left" vertical="center"/>
    </xf>
    <xf numFmtId="49" fontId="32" fillId="7" borderId="3" xfId="0" applyNumberFormat="1" applyFont="1" applyFill="1" applyBorder="1" applyAlignment="1" applyProtection="1">
      <alignment horizontal="left"/>
    </xf>
    <xf numFmtId="4" fontId="32" fillId="7" borderId="3" xfId="1" applyNumberFormat="1" applyFont="1" applyFill="1" applyBorder="1" applyAlignment="1" applyProtection="1">
      <alignment horizontal="right"/>
      <protection locked="0"/>
    </xf>
    <xf numFmtId="49" fontId="31" fillId="8" borderId="6" xfId="0" applyNumberFormat="1" applyFont="1" applyFill="1" applyBorder="1" applyAlignment="1">
      <alignment horizontal="left" vertical="center"/>
    </xf>
    <xf numFmtId="2" fontId="30" fillId="9" borderId="3" xfId="0" applyNumberFormat="1" applyFont="1" applyFill="1" applyBorder="1" applyAlignment="1" applyProtection="1">
      <alignment horizontal="center"/>
    </xf>
    <xf numFmtId="4" fontId="31" fillId="11" borderId="3" xfId="1" applyNumberFormat="1" applyFont="1" applyFill="1" applyBorder="1" applyAlignment="1" applyProtection="1">
      <alignment horizontal="center"/>
      <protection locked="0"/>
    </xf>
    <xf numFmtId="49" fontId="31" fillId="17" borderId="6" xfId="0" applyNumberFormat="1" applyFont="1" applyFill="1" applyBorder="1" applyAlignment="1">
      <alignment horizontal="right" vertical="center"/>
    </xf>
    <xf numFmtId="4" fontId="31" fillId="19" borderId="3" xfId="1" applyNumberFormat="1" applyFont="1" applyFill="1" applyBorder="1" applyAlignment="1" applyProtection="1">
      <alignment horizontal="center"/>
      <protection locked="0"/>
    </xf>
    <xf numFmtId="0" fontId="31" fillId="8" borderId="3" xfId="0" applyFont="1" applyFill="1" applyBorder="1">
      <alignment wrapText="1"/>
    </xf>
    <xf numFmtId="165" fontId="32" fillId="8" borderId="3" xfId="0" applyNumberFormat="1" applyFont="1" applyFill="1" applyBorder="1" applyAlignment="1" applyProtection="1">
      <alignment horizontal="justify" vertical="top" wrapText="1"/>
    </xf>
    <xf numFmtId="2" fontId="31" fillId="0" borderId="3" xfId="0" applyNumberFormat="1" applyFont="1" applyFill="1" applyBorder="1">
      <alignment wrapText="1"/>
    </xf>
    <xf numFmtId="0" fontId="31" fillId="11" borderId="3" xfId="0" applyFont="1" applyFill="1" applyBorder="1">
      <alignment wrapText="1"/>
    </xf>
    <xf numFmtId="0" fontId="31" fillId="11" borderId="3" xfId="0" applyFont="1" applyFill="1" applyBorder="1" applyAlignment="1">
      <alignment horizontal="right" wrapText="1"/>
    </xf>
    <xf numFmtId="0" fontId="31" fillId="17" borderId="3" xfId="0" applyFont="1" applyFill="1" applyBorder="1" applyAlignment="1">
      <alignment horizontal="right" wrapText="1"/>
    </xf>
    <xf numFmtId="2" fontId="31" fillId="0" borderId="3" xfId="0" applyNumberFormat="1" applyFont="1" applyFill="1" applyBorder="1" applyAlignment="1">
      <alignment horizontal="center" wrapText="1"/>
    </xf>
    <xf numFmtId="0" fontId="31" fillId="19" borderId="3" xfId="0" applyFont="1" applyFill="1" applyBorder="1">
      <alignment wrapText="1"/>
    </xf>
    <xf numFmtId="0" fontId="32" fillId="8" borderId="3" xfId="0" applyFont="1" applyFill="1" applyBorder="1">
      <alignment wrapText="1"/>
    </xf>
    <xf numFmtId="2" fontId="31" fillId="0" borderId="0" xfId="0" applyNumberFormat="1" applyFont="1" applyFill="1">
      <alignment wrapText="1"/>
    </xf>
    <xf numFmtId="2" fontId="31" fillId="0" borderId="10" xfId="0" applyNumberFormat="1" applyFont="1" applyFill="1" applyBorder="1" applyAlignment="1">
      <alignment horizontal="center" wrapText="1"/>
    </xf>
    <xf numFmtId="2" fontId="30" fillId="0" borderId="3" xfId="0" applyNumberFormat="1" applyFont="1" applyFill="1" applyBorder="1" applyAlignment="1" applyProtection="1">
      <alignment horizontal="center" vertical="center"/>
    </xf>
    <xf numFmtId="4" fontId="30" fillId="11" borderId="3" xfId="0" applyNumberFormat="1" applyFont="1" applyFill="1" applyBorder="1" applyAlignment="1" applyProtection="1">
      <alignment horizontal="right" vertical="center"/>
    </xf>
    <xf numFmtId="4" fontId="30" fillId="19" borderId="3" xfId="0" applyNumberFormat="1" applyFont="1" applyFill="1" applyBorder="1" applyAlignment="1" applyProtection="1">
      <alignment horizontal="right" vertical="center"/>
    </xf>
    <xf numFmtId="49" fontId="32" fillId="7" borderId="3" xfId="0" applyNumberFormat="1" applyFont="1" applyFill="1" applyBorder="1" applyAlignment="1" applyProtection="1">
      <alignment horizontal="left" vertical="center"/>
    </xf>
    <xf numFmtId="0" fontId="32" fillId="7" borderId="3" xfId="0" applyNumberFormat="1" applyFont="1" applyFill="1" applyBorder="1" applyAlignment="1" applyProtection="1">
      <alignment horizontal="justify" vertical="top" wrapText="1"/>
    </xf>
    <xf numFmtId="0" fontId="31" fillId="7" borderId="3" xfId="0" applyNumberFormat="1" applyFont="1" applyFill="1" applyBorder="1" applyAlignment="1" applyProtection="1">
      <alignment horizontal="center" vertical="center"/>
    </xf>
    <xf numFmtId="0" fontId="31" fillId="7" borderId="3" xfId="0" applyNumberFormat="1" applyFont="1" applyFill="1" applyBorder="1" applyAlignment="1" applyProtection="1">
      <alignment horizontal="center"/>
    </xf>
    <xf numFmtId="2" fontId="57" fillId="7" borderId="3" xfId="0" applyNumberFormat="1" applyFont="1" applyFill="1" applyBorder="1" applyAlignment="1" applyProtection="1">
      <alignment horizontal="center"/>
    </xf>
    <xf numFmtId="4" fontId="29" fillId="7" borderId="3" xfId="0" applyNumberFormat="1" applyFont="1" applyFill="1" applyBorder="1" applyAlignment="1" applyProtection="1">
      <alignment horizontal="right" wrapText="1"/>
    </xf>
    <xf numFmtId="0" fontId="31" fillId="7" borderId="0" xfId="0" applyFont="1" applyFill="1">
      <alignment wrapText="1"/>
    </xf>
    <xf numFmtId="49" fontId="31" fillId="11" borderId="3" xfId="0" applyNumberFormat="1" applyFont="1" applyFill="1" applyBorder="1" applyAlignment="1" applyProtection="1">
      <alignment horizontal="left" vertical="center"/>
    </xf>
    <xf numFmtId="0" fontId="31" fillId="11" borderId="3" xfId="0" applyNumberFormat="1" applyFont="1" applyFill="1" applyBorder="1" applyAlignment="1" applyProtection="1">
      <alignment horizontal="justify" vertical="top" wrapText="1"/>
    </xf>
    <xf numFmtId="0" fontId="31" fillId="11" borderId="3" xfId="0" applyNumberFormat="1" applyFont="1" applyFill="1" applyBorder="1" applyAlignment="1" applyProtection="1">
      <alignment horizontal="center" vertical="center"/>
    </xf>
    <xf numFmtId="0" fontId="31" fillId="11" borderId="3" xfId="0" applyNumberFormat="1" applyFont="1" applyFill="1" applyBorder="1" applyAlignment="1" applyProtection="1">
      <alignment horizontal="center"/>
    </xf>
    <xf numFmtId="2" fontId="57" fillId="0" borderId="3" xfId="0" applyNumberFormat="1" applyFont="1" applyFill="1" applyBorder="1" applyAlignment="1" applyProtection="1">
      <alignment horizontal="center" vertical="center"/>
    </xf>
    <xf numFmtId="49" fontId="31" fillId="11" borderId="3" xfId="0" applyNumberFormat="1" applyFont="1" applyFill="1" applyBorder="1" applyAlignment="1" applyProtection="1">
      <alignment horizontal="right" vertical="center"/>
    </xf>
    <xf numFmtId="0" fontId="31" fillId="17" borderId="3" xfId="0" applyNumberFormat="1" applyFont="1" applyFill="1" applyBorder="1" applyAlignment="1" applyProtection="1">
      <alignment horizontal="justify" vertical="top" wrapText="1"/>
    </xf>
    <xf numFmtId="4" fontId="57" fillId="0" borderId="3" xfId="0" applyNumberFormat="1" applyFont="1" applyFill="1" applyBorder="1" applyAlignment="1" applyProtection="1">
      <alignment horizontal="center" vertical="center"/>
    </xf>
    <xf numFmtId="4" fontId="57" fillId="0" borderId="3" xfId="0" applyNumberFormat="1" applyFont="1" applyFill="1" applyBorder="1" applyAlignment="1" applyProtection="1">
      <alignment horizontal="center"/>
    </xf>
    <xf numFmtId="4" fontId="31" fillId="0" borderId="3" xfId="0" applyNumberFormat="1" applyFont="1" applyFill="1" applyBorder="1" applyAlignment="1" applyProtection="1">
      <alignment horizontal="center" vertical="center"/>
    </xf>
    <xf numFmtId="4" fontId="31" fillId="0" borderId="3" xfId="0" applyNumberFormat="1" applyFont="1" applyFill="1" applyBorder="1" applyAlignment="1" applyProtection="1">
      <alignment horizontal="center"/>
    </xf>
    <xf numFmtId="4" fontId="30" fillId="7" borderId="3" xfId="0" applyNumberFormat="1" applyFont="1" applyFill="1" applyBorder="1" applyAlignment="1" applyProtection="1">
      <alignment horizontal="center"/>
    </xf>
    <xf numFmtId="49" fontId="31" fillId="11" borderId="3" xfId="0" applyNumberFormat="1" applyFont="1" applyFill="1" applyBorder="1" applyAlignment="1" applyProtection="1">
      <alignment vertical="center"/>
    </xf>
    <xf numFmtId="0" fontId="31" fillId="8" borderId="3" xfId="0" applyFont="1" applyFill="1" applyBorder="1" applyAlignment="1" applyProtection="1">
      <alignment horizontal="center" wrapText="1"/>
    </xf>
    <xf numFmtId="0" fontId="31" fillId="8" borderId="0" xfId="0" applyFont="1" applyFill="1" applyAlignment="1">
      <alignment horizontal="justify" vertical="top"/>
    </xf>
    <xf numFmtId="0" fontId="31" fillId="0" borderId="3" xfId="0" applyFont="1" applyFill="1" applyBorder="1" applyAlignment="1">
      <alignment vertical="top" wrapText="1"/>
    </xf>
    <xf numFmtId="0" fontId="31" fillId="8" borderId="3" xfId="0" applyFont="1" applyFill="1" applyBorder="1" applyAlignment="1">
      <alignment vertical="top" wrapText="1"/>
    </xf>
    <xf numFmtId="0" fontId="56" fillId="14" borderId="26" xfId="0" applyFont="1" applyFill="1" applyBorder="1" applyAlignment="1">
      <alignment horizontal="center" wrapText="1"/>
    </xf>
    <xf numFmtId="0" fontId="56" fillId="14" borderId="27" xfId="0" applyFont="1" applyFill="1" applyBorder="1" applyAlignment="1">
      <alignment horizontal="center" wrapText="1"/>
    </xf>
    <xf numFmtId="2" fontId="68" fillId="10" borderId="3" xfId="0" applyNumberFormat="1" applyFont="1" applyFill="1" applyBorder="1" applyAlignment="1" applyProtection="1">
      <alignment horizontal="center" vertical="top" wrapText="1"/>
    </xf>
    <xf numFmtId="2" fontId="68" fillId="22" borderId="3" xfId="0" applyNumberFormat="1" applyFont="1" applyFill="1" applyBorder="1" applyAlignment="1" applyProtection="1">
      <alignment horizontal="center" vertical="top" wrapText="1"/>
    </xf>
    <xf numFmtId="2" fontId="32" fillId="24" borderId="5" xfId="0" applyNumberFormat="1" applyFont="1" applyFill="1" applyBorder="1" applyAlignment="1" applyProtection="1">
      <alignment horizontal="center" vertical="center"/>
    </xf>
    <xf numFmtId="2" fontId="32" fillId="18" borderId="5" xfId="0" applyNumberFormat="1" applyFont="1" applyFill="1" applyBorder="1" applyAlignment="1" applyProtection="1">
      <alignment horizontal="center" vertical="center"/>
    </xf>
    <xf numFmtId="0" fontId="56" fillId="15" borderId="18" xfId="0" applyFont="1" applyFill="1" applyBorder="1" applyAlignment="1">
      <alignment horizontal="center" vertical="center" wrapText="1"/>
    </xf>
    <xf numFmtId="0" fontId="56" fillId="15" borderId="20" xfId="0" applyFont="1" applyFill="1" applyBorder="1" applyAlignment="1">
      <alignment horizontal="center" vertical="center" wrapText="1"/>
    </xf>
    <xf numFmtId="0" fontId="56" fillId="15" borderId="3" xfId="0" applyFont="1" applyFill="1" applyBorder="1" applyAlignment="1">
      <alignment horizontal="center" vertical="center" wrapText="1"/>
    </xf>
    <xf numFmtId="0" fontId="32" fillId="15" borderId="17" xfId="0" applyFont="1" applyFill="1" applyBorder="1" applyAlignment="1">
      <alignment horizontal="center" vertical="center" wrapText="1"/>
    </xf>
    <xf numFmtId="0" fontId="32" fillId="15" borderId="19" xfId="0" applyFont="1" applyFill="1" applyBorder="1" applyAlignment="1">
      <alignment horizontal="center" vertical="center" wrapText="1"/>
    </xf>
    <xf numFmtId="0" fontId="32" fillId="15" borderId="18" xfId="0" applyFont="1" applyFill="1" applyBorder="1" applyAlignment="1">
      <alignment horizontal="center" vertical="center" wrapText="1"/>
    </xf>
    <xf numFmtId="0" fontId="32" fillId="15" borderId="20" xfId="0" applyFont="1" applyFill="1" applyBorder="1" applyAlignment="1">
      <alignment horizontal="center" vertical="center" wrapText="1"/>
    </xf>
    <xf numFmtId="0" fontId="31" fillId="0" borderId="0" xfId="0" applyFont="1" applyFill="1" applyBorder="1" applyAlignment="1" applyProtection="1">
      <alignment vertical="top" wrapText="1"/>
    </xf>
    <xf numFmtId="0" fontId="56" fillId="0" borderId="0" xfId="0" applyFont="1" applyFill="1" applyBorder="1" applyAlignment="1">
      <alignment horizontal="center" vertical="top" wrapText="1"/>
    </xf>
    <xf numFmtId="0" fontId="32" fillId="0" borderId="0" xfId="0" applyFont="1" applyFill="1" applyBorder="1" applyAlignment="1">
      <alignment horizontal="center" vertical="center" wrapText="1"/>
    </xf>
    <xf numFmtId="0" fontId="30" fillId="0" borderId="0" xfId="0" applyFont="1" applyFill="1" applyBorder="1" applyAlignment="1" applyProtection="1">
      <alignment horizontal="left"/>
    </xf>
    <xf numFmtId="0" fontId="57" fillId="0" borderId="0" xfId="3" applyFont="1" applyFill="1" applyBorder="1" applyAlignment="1" applyProtection="1">
      <alignment wrapText="1"/>
    </xf>
    <xf numFmtId="49" fontId="31" fillId="9" borderId="3" xfId="0" applyNumberFormat="1" applyFont="1" applyFill="1" applyBorder="1" applyAlignment="1">
      <alignment horizontal="center" vertical="center"/>
    </xf>
    <xf numFmtId="49" fontId="31" fillId="8" borderId="3" xfId="0" applyNumberFormat="1" applyFont="1" applyFill="1" applyBorder="1" applyAlignment="1" applyProtection="1">
      <alignment horizontal="center"/>
    </xf>
    <xf numFmtId="49" fontId="31" fillId="8" borderId="10" xfId="0" applyNumberFormat="1" applyFont="1" applyFill="1" applyBorder="1" applyAlignment="1">
      <alignment horizontal="center" vertical="center"/>
    </xf>
    <xf numFmtId="49" fontId="31" fillId="8" borderId="3" xfId="0" applyNumberFormat="1" applyFont="1" applyFill="1" applyBorder="1" applyAlignment="1" applyProtection="1">
      <alignment horizontal="center" vertical="center"/>
    </xf>
    <xf numFmtId="49" fontId="31" fillId="7" borderId="10" xfId="1" applyNumberFormat="1" applyFont="1" applyFill="1" applyBorder="1" applyAlignment="1" applyProtection="1">
      <alignment horizontal="center" vertical="center"/>
      <protection locked="0"/>
    </xf>
    <xf numFmtId="49" fontId="31" fillId="17" borderId="3" xfId="0" applyNumberFormat="1" applyFont="1" applyFill="1" applyBorder="1" applyAlignment="1" applyProtection="1">
      <alignment horizontal="center" vertical="center"/>
    </xf>
    <xf numFmtId="49" fontId="31" fillId="17" borderId="3" xfId="0" applyNumberFormat="1" applyFont="1" applyFill="1" applyBorder="1" applyAlignment="1">
      <alignment horizontal="center" vertical="center"/>
    </xf>
    <xf numFmtId="49" fontId="31" fillId="16" borderId="10" xfId="1" applyNumberFormat="1" applyFont="1" applyFill="1" applyBorder="1" applyAlignment="1" applyProtection="1">
      <alignment horizontal="center" vertical="center"/>
      <protection locked="0"/>
    </xf>
    <xf numFmtId="49" fontId="31" fillId="8" borderId="3" xfId="0" applyNumberFormat="1" applyFont="1" applyFill="1" applyBorder="1" applyAlignment="1">
      <alignment horizontal="center" vertical="center"/>
    </xf>
    <xf numFmtId="49" fontId="31" fillId="16" borderId="3" xfId="1" applyNumberFormat="1" applyFont="1" applyFill="1" applyBorder="1" applyAlignment="1" applyProtection="1">
      <alignment horizontal="center" vertical="center"/>
      <protection locked="0"/>
    </xf>
    <xf numFmtId="49" fontId="56" fillId="15" borderId="3" xfId="0" applyNumberFormat="1" applyFont="1" applyFill="1" applyBorder="1" applyAlignment="1">
      <alignment horizontal="center" vertical="top" wrapText="1"/>
    </xf>
    <xf numFmtId="49" fontId="32" fillId="7" borderId="5" xfId="0" applyNumberFormat="1" applyFont="1" applyFill="1" applyBorder="1" applyAlignment="1" applyProtection="1">
      <alignment vertical="top"/>
    </xf>
    <xf numFmtId="49" fontId="32" fillId="7" borderId="5" xfId="0" applyNumberFormat="1" applyFont="1" applyFill="1" applyBorder="1" applyAlignment="1" applyProtection="1">
      <alignment vertical="center"/>
    </xf>
    <xf numFmtId="14" fontId="31" fillId="8" borderId="3" xfId="0" applyNumberFormat="1" applyFont="1" applyFill="1" applyBorder="1" applyAlignment="1">
      <alignment horizontal="center" vertical="center"/>
    </xf>
    <xf numFmtId="0" fontId="0" fillId="0" borderId="0" xfId="0">
      <alignment wrapText="1"/>
    </xf>
    <xf numFmtId="0" fontId="30" fillId="7" borderId="3" xfId="0" applyFont="1" applyFill="1" applyBorder="1" applyAlignment="1" applyProtection="1">
      <alignment horizontal="left"/>
    </xf>
    <xf numFmtId="0" fontId="29" fillId="0" borderId="3" xfId="0" applyFont="1" applyFill="1" applyBorder="1" applyProtection="1">
      <alignment wrapText="1"/>
    </xf>
    <xf numFmtId="0" fontId="29" fillId="9" borderId="3" xfId="0" applyFont="1" applyFill="1" applyBorder="1" applyProtection="1">
      <alignment wrapText="1"/>
    </xf>
    <xf numFmtId="0" fontId="57" fillId="10" borderId="3" xfId="0" applyFont="1" applyFill="1" applyBorder="1" applyProtection="1">
      <alignment wrapText="1"/>
    </xf>
    <xf numFmtId="0" fontId="29" fillId="10" borderId="3" xfId="0" applyFont="1" applyFill="1" applyBorder="1" applyProtection="1">
      <alignment wrapText="1"/>
    </xf>
    <xf numFmtId="4" fontId="29" fillId="11" borderId="3" xfId="0" applyNumberFormat="1" applyFont="1" applyFill="1" applyBorder="1" applyProtection="1">
      <alignment wrapText="1"/>
    </xf>
    <xf numFmtId="0" fontId="29" fillId="0" borderId="0" xfId="0" applyFont="1" applyFill="1" applyBorder="1" applyProtection="1">
      <alignment wrapText="1"/>
    </xf>
    <xf numFmtId="0" fontId="31" fillId="17" borderId="3" xfId="0" applyFont="1" applyFill="1" applyBorder="1" applyAlignment="1">
      <alignment horizontal="justify" vertical="top"/>
    </xf>
    <xf numFmtId="0" fontId="57" fillId="0" borderId="0" xfId="0" applyFont="1" applyFill="1" applyBorder="1" applyProtection="1">
      <alignment wrapText="1"/>
    </xf>
    <xf numFmtId="0" fontId="31" fillId="8" borderId="3" xfId="0" applyFont="1" applyFill="1" applyBorder="1" applyAlignment="1" applyProtection="1">
      <alignment horizontal="center" vertical="center"/>
    </xf>
    <xf numFmtId="4" fontId="31" fillId="11" borderId="10" xfId="3" applyNumberFormat="1" applyFont="1" applyFill="1" applyBorder="1" applyAlignment="1" applyProtection="1">
      <alignment horizontal="right"/>
    </xf>
    <xf numFmtId="2" fontId="31" fillId="17" borderId="3" xfId="0" applyNumberFormat="1" applyFont="1" applyFill="1" applyBorder="1" applyAlignment="1" applyProtection="1">
      <alignment horizontal="right" vertical="center"/>
    </xf>
    <xf numFmtId="2" fontId="31" fillId="8" borderId="3" xfId="0" applyNumberFormat="1" applyFont="1" applyFill="1" applyBorder="1" applyAlignment="1" applyProtection="1">
      <alignment vertical="center"/>
    </xf>
    <xf numFmtId="2" fontId="31" fillId="8" borderId="3" xfId="0" applyNumberFormat="1" applyFont="1" applyFill="1" applyBorder="1" applyAlignment="1" applyProtection="1">
      <alignment horizontal="left" vertical="center"/>
    </xf>
    <xf numFmtId="0" fontId="31" fillId="17" borderId="3" xfId="0" applyFont="1" applyFill="1" applyBorder="1" applyAlignment="1">
      <alignment horizontal="right" vertical="center"/>
    </xf>
    <xf numFmtId="49" fontId="32" fillId="7" borderId="10" xfId="0" applyNumberFormat="1" applyFont="1" applyFill="1" applyBorder="1" applyAlignment="1" applyProtection="1">
      <alignment vertical="center"/>
    </xf>
    <xf numFmtId="0" fontId="31" fillId="17" borderId="3" xfId="0" applyFont="1" applyFill="1" applyBorder="1" applyAlignment="1" applyProtection="1">
      <alignment horizontal="center" vertical="center"/>
    </xf>
    <xf numFmtId="2" fontId="31" fillId="8" borderId="3" xfId="1" applyNumberFormat="1" applyFont="1" applyFill="1" applyBorder="1" applyAlignment="1" applyProtection="1">
      <alignment horizontal="center" vertical="center"/>
      <protection locked="0"/>
    </xf>
    <xf numFmtId="2" fontId="31" fillId="17" borderId="3" xfId="0" applyNumberFormat="1" applyFont="1" applyFill="1" applyBorder="1" applyAlignment="1" applyProtection="1">
      <alignment horizontal="center" vertical="center"/>
    </xf>
    <xf numFmtId="0" fontId="31" fillId="17" borderId="3" xfId="12" applyFont="1" applyFill="1" applyBorder="1" applyAlignment="1">
      <alignment horizontal="center" vertical="center" wrapText="1"/>
    </xf>
    <xf numFmtId="165" fontId="31" fillId="17" borderId="3" xfId="0" applyNumberFormat="1" applyFont="1" applyFill="1" applyBorder="1" applyAlignment="1" applyProtection="1">
      <alignment horizontal="justify" vertical="top" wrapText="1"/>
    </xf>
    <xf numFmtId="0" fontId="29" fillId="8" borderId="3" xfId="0" applyFont="1" applyFill="1" applyBorder="1" applyAlignment="1" applyProtection="1">
      <alignment horizontal="justify" vertical="top" wrapText="1"/>
    </xf>
    <xf numFmtId="4" fontId="31" fillId="9" borderId="10" xfId="12" applyNumberFormat="1" applyFont="1" applyFill="1" applyBorder="1" applyAlignment="1">
      <alignment horizontal="center" vertical="center"/>
    </xf>
    <xf numFmtId="4" fontId="29" fillId="19" borderId="3" xfId="0" applyNumberFormat="1" applyFont="1" applyFill="1" applyBorder="1" applyAlignment="1" applyProtection="1">
      <alignment horizontal="right" wrapText="1"/>
    </xf>
    <xf numFmtId="4" fontId="29" fillId="19" borderId="10" xfId="0" applyNumberFormat="1" applyFont="1" applyFill="1" applyBorder="1" applyAlignment="1" applyProtection="1">
      <alignment horizontal="right" wrapText="1"/>
    </xf>
    <xf numFmtId="4" fontId="31" fillId="19" borderId="3" xfId="0" applyNumberFormat="1" applyFont="1" applyFill="1" applyBorder="1" applyAlignment="1" applyProtection="1">
      <alignment horizontal="right" wrapText="1"/>
    </xf>
    <xf numFmtId="4" fontId="31" fillId="11" borderId="3" xfId="3" applyNumberFormat="1" applyFont="1" applyFill="1" applyBorder="1" applyAlignment="1" applyProtection="1">
      <alignment horizontal="right" wrapText="1"/>
    </xf>
    <xf numFmtId="4" fontId="31" fillId="11" borderId="3" xfId="0" applyNumberFormat="1" applyFont="1" applyFill="1" applyBorder="1" applyAlignment="1" applyProtection="1">
      <alignment horizontal="right" wrapText="1"/>
    </xf>
    <xf numFmtId="4" fontId="31" fillId="0" borderId="3" xfId="1" applyNumberFormat="1" applyFont="1" applyFill="1" applyBorder="1" applyAlignment="1" applyProtection="1">
      <alignment horizontal="center"/>
      <protection locked="0"/>
    </xf>
    <xf numFmtId="0" fontId="31" fillId="17" borderId="3" xfId="0" applyFont="1" applyFill="1" applyBorder="1" applyAlignment="1" applyProtection="1">
      <alignment horizontal="left" vertical="top"/>
    </xf>
    <xf numFmtId="14" fontId="31" fillId="8" borderId="3" xfId="0" applyNumberFormat="1" applyFont="1" applyFill="1" applyBorder="1" applyAlignment="1" applyProtection="1">
      <alignment horizontal="center" vertical="center"/>
    </xf>
    <xf numFmtId="0" fontId="31" fillId="8" borderId="3" xfId="0" applyFont="1" applyFill="1" applyBorder="1" applyAlignment="1">
      <alignment horizontal="center" vertical="center"/>
    </xf>
    <xf numFmtId="4" fontId="31" fillId="0" borderId="3" xfId="2" applyNumberFormat="1" applyFont="1" applyFill="1" applyBorder="1" applyAlignment="1" applyProtection="1">
      <alignment horizontal="center" wrapText="1"/>
      <protection locked="0"/>
    </xf>
    <xf numFmtId="0" fontId="31" fillId="9" borderId="3" xfId="0" applyFont="1" applyFill="1" applyBorder="1" applyAlignment="1" applyProtection="1">
      <alignment horizontal="center" vertical="center"/>
    </xf>
    <xf numFmtId="2" fontId="31" fillId="8" borderId="10" xfId="1" applyNumberFormat="1" applyFont="1" applyFill="1" applyBorder="1" applyAlignment="1" applyProtection="1">
      <alignment horizontal="center" vertical="center"/>
      <protection locked="0"/>
    </xf>
    <xf numFmtId="0" fontId="32" fillId="8" borderId="0" xfId="0" applyFont="1" applyFill="1" applyBorder="1" applyAlignment="1" applyProtection="1">
      <alignment horizontal="left"/>
    </xf>
    <xf numFmtId="0" fontId="61" fillId="8" borderId="0" xfId="0" applyFont="1" applyFill="1" applyBorder="1" applyAlignment="1" applyProtection="1">
      <alignment horizontal="left"/>
    </xf>
    <xf numFmtId="0" fontId="61" fillId="8" borderId="3" xfId="0" applyFont="1" applyFill="1" applyBorder="1" applyAlignment="1" applyProtection="1">
      <alignment horizontal="left"/>
    </xf>
    <xf numFmtId="2" fontId="62" fillId="8" borderId="3" xfId="0" applyNumberFormat="1" applyFont="1" applyFill="1" applyBorder="1" applyAlignment="1" applyProtection="1">
      <alignment horizontal="left" vertical="center"/>
    </xf>
    <xf numFmtId="4" fontId="31" fillId="8" borderId="3" xfId="1" applyNumberFormat="1" applyFont="1" applyFill="1" applyBorder="1" applyAlignment="1" applyProtection="1">
      <alignment horizontal="center"/>
      <protection locked="0"/>
    </xf>
    <xf numFmtId="0" fontId="62" fillId="11" borderId="3" xfId="0" applyFont="1" applyFill="1" applyBorder="1" applyAlignment="1" applyProtection="1">
      <alignment horizontal="justify" vertical="top" wrapText="1"/>
    </xf>
    <xf numFmtId="0" fontId="62" fillId="11" borderId="3" xfId="0" applyFont="1" applyFill="1" applyBorder="1" applyAlignment="1" applyProtection="1">
      <alignment horizontal="center"/>
    </xf>
    <xf numFmtId="0" fontId="62" fillId="0" borderId="0" xfId="0" applyFont="1">
      <alignment wrapText="1"/>
    </xf>
    <xf numFmtId="4" fontId="65" fillId="11" borderId="3" xfId="0" applyNumberFormat="1" applyFont="1" applyFill="1" applyBorder="1" applyAlignment="1" applyProtection="1">
      <alignment horizontal="right" wrapText="1"/>
    </xf>
    <xf numFmtId="4" fontId="65" fillId="19" borderId="3" xfId="0" applyNumberFormat="1" applyFont="1" applyFill="1" applyBorder="1" applyAlignment="1" applyProtection="1">
      <alignment horizontal="right" wrapText="1"/>
    </xf>
    <xf numFmtId="0" fontId="62" fillId="19" borderId="3" xfId="0" applyFont="1" applyFill="1" applyBorder="1">
      <alignment wrapText="1"/>
    </xf>
    <xf numFmtId="2" fontId="62" fillId="0" borderId="3" xfId="0" applyNumberFormat="1" applyFont="1" applyFill="1" applyBorder="1" applyAlignment="1" applyProtection="1">
      <alignment horizontal="center"/>
    </xf>
    <xf numFmtId="0" fontId="62" fillId="17" borderId="3" xfId="0" applyFont="1" applyFill="1" applyBorder="1" applyAlignment="1" applyProtection="1">
      <alignment horizontal="left"/>
    </xf>
    <xf numFmtId="49" fontId="62" fillId="11" borderId="3" xfId="0" applyNumberFormat="1" applyFont="1" applyFill="1" applyBorder="1" applyAlignment="1">
      <alignment horizontal="left" vertical="center"/>
    </xf>
    <xf numFmtId="49" fontId="62" fillId="11" borderId="3" xfId="0" applyNumberFormat="1" applyFont="1" applyFill="1" applyBorder="1" applyAlignment="1">
      <alignment horizontal="right" vertical="center"/>
    </xf>
    <xf numFmtId="4" fontId="31" fillId="19" borderId="3" xfId="0" applyNumberFormat="1" applyFont="1" applyFill="1" applyBorder="1" applyAlignment="1" applyProtection="1">
      <alignment horizontal="right"/>
    </xf>
    <xf numFmtId="0" fontId="31" fillId="17" borderId="3" xfId="0" applyFont="1" applyFill="1" applyBorder="1" applyAlignment="1" applyProtection="1">
      <alignment horizontal="left"/>
    </xf>
    <xf numFmtId="0" fontId="31" fillId="8" borderId="3" xfId="0" applyFont="1" applyFill="1" applyBorder="1" applyAlignment="1" applyProtection="1">
      <alignment horizontal="center"/>
    </xf>
    <xf numFmtId="0" fontId="31" fillId="0" borderId="3" xfId="0" applyFont="1" applyFill="1" applyBorder="1" applyAlignment="1" applyProtection="1">
      <alignment horizontal="center" wrapText="1"/>
    </xf>
    <xf numFmtId="49" fontId="31" fillId="8" borderId="3" xfId="0" applyNumberFormat="1" applyFont="1" applyFill="1" applyBorder="1" applyAlignment="1" applyProtection="1">
      <alignment horizontal="justify" vertical="center"/>
    </xf>
    <xf numFmtId="2" fontId="31" fillId="8" borderId="3" xfId="0" applyNumberFormat="1" applyFont="1" applyFill="1" applyBorder="1" applyAlignment="1" applyProtection="1">
      <alignment horizontal="justify" vertical="center"/>
    </xf>
    <xf numFmtId="49" fontId="31" fillId="17" borderId="3" xfId="0" applyNumberFormat="1" applyFont="1" applyFill="1" applyBorder="1" applyAlignment="1" applyProtection="1">
      <alignment horizontal="right" vertical="center"/>
    </xf>
    <xf numFmtId="2" fontId="31" fillId="17" borderId="3" xfId="0" applyNumberFormat="1" applyFont="1" applyFill="1" applyBorder="1" applyAlignment="1" applyProtection="1">
      <alignment horizontal="left" vertical="center"/>
    </xf>
    <xf numFmtId="0" fontId="31" fillId="17" borderId="3" xfId="0" applyFont="1" applyFill="1" applyBorder="1" applyAlignment="1" applyProtection="1">
      <alignment horizontal="justify"/>
    </xf>
    <xf numFmtId="2" fontId="62" fillId="17" borderId="3" xfId="0" applyNumberFormat="1" applyFont="1" applyFill="1" applyBorder="1" applyAlignment="1">
      <alignment horizontal="justify" vertical="top"/>
    </xf>
    <xf numFmtId="2" fontId="31" fillId="17" borderId="3" xfId="0" applyNumberFormat="1" applyFont="1" applyFill="1" applyBorder="1" applyAlignment="1">
      <alignment horizontal="justify" vertical="top"/>
    </xf>
    <xf numFmtId="0" fontId="31" fillId="17" borderId="3" xfId="0" applyFont="1" applyFill="1" applyBorder="1" applyAlignment="1" applyProtection="1">
      <alignment horizontal="left" vertical="center"/>
    </xf>
    <xf numFmtId="4" fontId="31" fillId="0" borderId="3" xfId="2" applyNumberFormat="1" applyFont="1" applyFill="1" applyBorder="1" applyAlignment="1" applyProtection="1">
      <alignment horizontal="center"/>
      <protection locked="0"/>
    </xf>
    <xf numFmtId="4" fontId="80" fillId="0" borderId="3" xfId="1" applyNumberFormat="1" applyFont="1" applyFill="1" applyBorder="1" applyAlignment="1" applyProtection="1">
      <alignment horizontal="center"/>
      <protection locked="0"/>
    </xf>
    <xf numFmtId="4" fontId="31" fillId="0" borderId="6" xfId="1" applyNumberFormat="1" applyFont="1" applyFill="1" applyBorder="1" applyAlignment="1" applyProtection="1">
      <alignment horizontal="center"/>
      <protection locked="0"/>
    </xf>
    <xf numFmtId="2" fontId="31" fillId="9" borderId="10" xfId="12" applyNumberFormat="1" applyFont="1" applyFill="1" applyBorder="1" applyAlignment="1">
      <alignment horizontal="center" vertical="center"/>
    </xf>
    <xf numFmtId="4" fontId="29" fillId="11" borderId="3" xfId="0" applyNumberFormat="1" applyFont="1" applyFill="1" applyBorder="1" applyAlignment="1" applyProtection="1">
      <alignment horizontal="right" wrapText="1"/>
    </xf>
    <xf numFmtId="0" fontId="62" fillId="0" borderId="3" xfId="0" applyFont="1" applyFill="1" applyBorder="1" applyAlignment="1">
      <alignment vertical="top" wrapText="1"/>
    </xf>
    <xf numFmtId="49" fontId="31" fillId="0" borderId="3" xfId="12" applyNumberFormat="1" applyFont="1" applyFill="1" applyBorder="1" applyAlignment="1">
      <alignment horizontal="right" vertical="top"/>
    </xf>
    <xf numFmtId="0" fontId="31" fillId="0" borderId="3" xfId="0" applyFont="1" applyFill="1" applyBorder="1" applyAlignment="1" applyProtection="1">
      <alignment horizontal="center" vertical="center" wrapText="1"/>
    </xf>
    <xf numFmtId="49" fontId="31" fillId="8" borderId="3" xfId="12" applyNumberFormat="1" applyFont="1" applyFill="1" applyBorder="1" applyAlignment="1">
      <alignment horizontal="left" vertical="top"/>
    </xf>
    <xf numFmtId="0" fontId="31" fillId="8" borderId="10" xfId="0" applyFont="1" applyFill="1" applyBorder="1" applyAlignment="1">
      <alignment horizontal="center" vertical="center" wrapText="1"/>
    </xf>
    <xf numFmtId="2" fontId="31" fillId="8" borderId="3" xfId="12" applyNumberFormat="1" applyFont="1" applyFill="1" applyBorder="1" applyAlignment="1">
      <alignment horizontal="justify" vertical="top" wrapText="1"/>
    </xf>
    <xf numFmtId="0" fontId="31" fillId="8" borderId="3" xfId="0" applyFont="1" applyFill="1" applyBorder="1" applyAlignment="1" applyProtection="1">
      <alignment horizontal="left"/>
    </xf>
    <xf numFmtId="0" fontId="31" fillId="8" borderId="3" xfId="0" applyFont="1" applyFill="1" applyBorder="1" applyAlignment="1" applyProtection="1">
      <alignment horizontal="justify" vertical="top"/>
    </xf>
    <xf numFmtId="0" fontId="31" fillId="8" borderId="3" xfId="0" applyFont="1" applyFill="1" applyBorder="1" applyAlignment="1" applyProtection="1">
      <alignment horizontal="justify"/>
    </xf>
    <xf numFmtId="2" fontId="70" fillId="8" borderId="3" xfId="0" applyNumberFormat="1" applyFont="1" applyFill="1" applyBorder="1" applyAlignment="1">
      <alignment horizontal="justify" vertical="top"/>
    </xf>
    <xf numFmtId="0" fontId="70" fillId="8" borderId="3" xfId="0" applyFont="1" applyFill="1" applyBorder="1" applyAlignment="1" applyProtection="1">
      <alignment horizontal="left" vertical="center"/>
    </xf>
    <xf numFmtId="0" fontId="31" fillId="8" borderId="3" xfId="0" applyFont="1" applyFill="1" applyBorder="1" applyAlignment="1" applyProtection="1">
      <alignment horizontal="justify" wrapText="1"/>
    </xf>
    <xf numFmtId="0" fontId="31" fillId="8" borderId="3" xfId="0" applyFont="1" applyFill="1" applyBorder="1" applyAlignment="1">
      <alignment horizontal="justify" vertical="top"/>
    </xf>
    <xf numFmtId="0" fontId="31" fillId="0" borderId="0" xfId="0" applyFont="1">
      <alignment wrapText="1"/>
    </xf>
    <xf numFmtId="2" fontId="29" fillId="0" borderId="3" xfId="0" applyNumberFormat="1" applyFont="1" applyFill="1" applyBorder="1" applyAlignment="1" applyProtection="1">
      <alignment horizontal="center" vertical="center"/>
    </xf>
    <xf numFmtId="49" fontId="31" fillId="7" borderId="3" xfId="1" applyNumberFormat="1" applyFont="1" applyFill="1" applyBorder="1" applyAlignment="1" applyProtection="1">
      <alignment horizontal="center" vertical="center"/>
      <protection locked="0"/>
    </xf>
    <xf numFmtId="49" fontId="31" fillId="8" borderId="3" xfId="1" applyNumberFormat="1" applyFont="1" applyFill="1" applyBorder="1" applyAlignment="1" applyProtection="1">
      <alignment horizontal="center" vertical="center"/>
      <protection locked="0"/>
    </xf>
    <xf numFmtId="49" fontId="31" fillId="17" borderId="3" xfId="1" applyNumberFormat="1" applyFont="1" applyFill="1" applyBorder="1" applyAlignment="1" applyProtection="1">
      <alignment horizontal="center" vertical="center"/>
      <protection locked="0"/>
    </xf>
    <xf numFmtId="49" fontId="31" fillId="7" borderId="3" xfId="0" applyNumberFormat="1" applyFont="1" applyFill="1" applyBorder="1" applyAlignment="1" applyProtection="1">
      <alignment horizontal="center" vertical="center"/>
    </xf>
    <xf numFmtId="49" fontId="29" fillId="8" borderId="3" xfId="0" applyNumberFormat="1" applyFont="1" applyFill="1" applyBorder="1" applyProtection="1">
      <alignment wrapText="1"/>
    </xf>
    <xf numFmtId="49" fontId="31" fillId="8" borderId="3" xfId="0" applyNumberFormat="1" applyFont="1" applyFill="1" applyBorder="1" applyAlignment="1" applyProtection="1">
      <alignment horizontal="center" vertical="center" wrapText="1"/>
    </xf>
    <xf numFmtId="49" fontId="29" fillId="8" borderId="3" xfId="0" applyNumberFormat="1" applyFont="1" applyFill="1" applyBorder="1" applyAlignment="1" applyProtection="1">
      <alignment horizontal="center" wrapText="1"/>
    </xf>
    <xf numFmtId="49" fontId="31" fillId="0" borderId="0" xfId="0" applyNumberFormat="1" applyFont="1" applyFill="1" applyBorder="1" applyAlignment="1" applyProtection="1">
      <alignment horizontal="center" wrapText="1"/>
    </xf>
    <xf numFmtId="49" fontId="31" fillId="0" borderId="12" xfId="0" applyNumberFormat="1" applyFont="1" applyFill="1" applyBorder="1" applyAlignment="1" applyProtection="1">
      <alignment horizontal="center" wrapText="1"/>
    </xf>
    <xf numFmtId="49" fontId="31" fillId="0" borderId="3" xfId="0" applyNumberFormat="1" applyFont="1" applyFill="1" applyBorder="1" applyAlignment="1" applyProtection="1">
      <alignment horizontal="center" wrapText="1"/>
    </xf>
    <xf numFmtId="49" fontId="31" fillId="0" borderId="3" xfId="0" applyNumberFormat="1" applyFont="1" applyFill="1" applyBorder="1" applyAlignment="1" applyProtection="1">
      <alignment horizontal="center"/>
    </xf>
    <xf numFmtId="2" fontId="62" fillId="8" borderId="3" xfId="0" applyNumberFormat="1" applyFont="1" applyFill="1" applyBorder="1" applyAlignment="1" applyProtection="1">
      <alignment horizontal="center"/>
    </xf>
    <xf numFmtId="14" fontId="31" fillId="17" borderId="3" xfId="0" applyNumberFormat="1" applyFont="1" applyFill="1" applyBorder="1" applyAlignment="1" applyProtection="1">
      <alignment horizontal="center" vertical="center"/>
    </xf>
    <xf numFmtId="0" fontId="83" fillId="17" borderId="3" xfId="0" applyFont="1" applyFill="1" applyBorder="1" applyAlignment="1" applyProtection="1">
      <alignment horizontal="left" vertical="top"/>
    </xf>
    <xf numFmtId="49" fontId="31" fillId="11" borderId="3" xfId="0" applyNumberFormat="1" applyFont="1" applyFill="1" applyBorder="1" applyAlignment="1" applyProtection="1">
      <alignment horizontal="center" vertical="center" wrapText="1"/>
    </xf>
    <xf numFmtId="49" fontId="31" fillId="17" borderId="3" xfId="0" applyNumberFormat="1" applyFont="1" applyFill="1" applyBorder="1" applyAlignment="1" applyProtection="1">
      <alignment horizontal="center" vertical="center" wrapText="1"/>
    </xf>
    <xf numFmtId="0" fontId="32" fillId="10" borderId="3" xfId="0" applyFont="1" applyFill="1" applyBorder="1" applyAlignment="1">
      <alignment horizontal="center" vertical="center" wrapText="1"/>
    </xf>
    <xf numFmtId="0" fontId="32" fillId="25" borderId="3" xfId="0" applyFont="1" applyFill="1" applyBorder="1" applyAlignment="1">
      <alignment horizontal="center" vertical="center" wrapText="1"/>
    </xf>
    <xf numFmtId="2" fontId="70" fillId="23" borderId="4" xfId="0" applyNumberFormat="1" applyFont="1" applyFill="1" applyBorder="1" applyAlignment="1">
      <alignment horizontal="center" vertical="center" wrapText="1"/>
    </xf>
    <xf numFmtId="2" fontId="70" fillId="21" borderId="4" xfId="0" applyNumberFormat="1" applyFont="1" applyFill="1" applyBorder="1" applyAlignment="1">
      <alignment horizontal="center" vertical="center" wrapText="1"/>
    </xf>
    <xf numFmtId="2" fontId="70" fillId="22" borderId="16" xfId="0" applyNumberFormat="1" applyFont="1" applyFill="1" applyBorder="1" applyAlignment="1">
      <alignment horizontal="center" vertical="center" wrapText="1"/>
    </xf>
    <xf numFmtId="2" fontId="70" fillId="22" borderId="9" xfId="0" applyNumberFormat="1" applyFont="1" applyFill="1" applyBorder="1" applyAlignment="1">
      <alignment horizontal="center" vertical="center" wrapText="1"/>
    </xf>
    <xf numFmtId="2" fontId="70" fillId="10" borderId="20" xfId="0" applyNumberFormat="1" applyFont="1" applyFill="1" applyBorder="1" applyAlignment="1">
      <alignment horizontal="center" vertical="center" wrapText="1"/>
    </xf>
    <xf numFmtId="2" fontId="70" fillId="22" borderId="23" xfId="0" applyNumberFormat="1" applyFont="1" applyFill="1" applyBorder="1" applyAlignment="1">
      <alignment horizontal="center" vertical="center" wrapText="1"/>
    </xf>
    <xf numFmtId="2" fontId="70" fillId="22" borderId="24" xfId="0" applyNumberFormat="1" applyFont="1" applyFill="1" applyBorder="1" applyAlignment="1">
      <alignment horizontal="center" vertical="center" wrapText="1"/>
    </xf>
    <xf numFmtId="2" fontId="70" fillId="22" borderId="25" xfId="0" applyNumberFormat="1" applyFont="1" applyFill="1" applyBorder="1" applyAlignment="1">
      <alignment horizontal="center" vertical="center" wrapText="1"/>
    </xf>
    <xf numFmtId="0" fontId="31" fillId="9" borderId="3" xfId="0" applyFont="1" applyFill="1" applyBorder="1" applyAlignment="1">
      <alignment horizontal="center" vertical="top"/>
    </xf>
    <xf numFmtId="14" fontId="31" fillId="8" borderId="3" xfId="0" applyNumberFormat="1" applyFont="1" applyFill="1" applyBorder="1" applyAlignment="1">
      <alignment horizontal="center" wrapText="1"/>
    </xf>
    <xf numFmtId="14" fontId="31" fillId="11" borderId="3" xfId="0" applyNumberFormat="1" applyFont="1" applyFill="1" applyBorder="1" applyAlignment="1" applyProtection="1">
      <alignment horizontal="left" vertical="center"/>
    </xf>
    <xf numFmtId="0" fontId="62" fillId="0" borderId="3" xfId="0" applyFont="1" applyBorder="1" applyAlignment="1">
      <alignment horizontal="center" wrapText="1"/>
    </xf>
    <xf numFmtId="0" fontId="62" fillId="0" borderId="3" xfId="0" applyFont="1" applyBorder="1" applyAlignment="1">
      <alignment horizontal="center"/>
    </xf>
    <xf numFmtId="2" fontId="62" fillId="0" borderId="3" xfId="0" applyNumberFormat="1" applyFont="1" applyBorder="1" applyAlignment="1">
      <alignment horizontal="center" wrapText="1"/>
    </xf>
    <xf numFmtId="2" fontId="62" fillId="13" borderId="3" xfId="0" applyNumberFormat="1" applyFont="1" applyFill="1" applyBorder="1" applyAlignment="1">
      <alignment horizontal="center" wrapText="1"/>
    </xf>
    <xf numFmtId="4" fontId="65" fillId="11" borderId="3" xfId="0" applyNumberFormat="1" applyFont="1" applyFill="1" applyBorder="1" applyAlignment="1">
      <alignment horizontal="right" wrapText="1"/>
    </xf>
    <xf numFmtId="0" fontId="62" fillId="0" borderId="3" xfId="0" applyFont="1" applyBorder="1" applyAlignment="1">
      <alignment vertical="top" wrapText="1"/>
    </xf>
    <xf numFmtId="0" fontId="70" fillId="7" borderId="3" xfId="0" applyFont="1" applyFill="1" applyBorder="1" applyAlignment="1">
      <alignment horizontal="left" vertical="center"/>
    </xf>
    <xf numFmtId="0" fontId="70" fillId="7" borderId="3" xfId="0" applyFont="1" applyFill="1" applyBorder="1" applyAlignment="1">
      <alignment horizontal="justify" vertical="center" wrapText="1"/>
    </xf>
    <xf numFmtId="0" fontId="70" fillId="7" borderId="3" xfId="0" applyFont="1" applyFill="1" applyBorder="1" applyAlignment="1">
      <alignment horizontal="center" vertical="center"/>
    </xf>
    <xf numFmtId="0" fontId="70" fillId="7" borderId="3" xfId="0" applyFont="1" applyFill="1" applyBorder="1" applyAlignment="1">
      <alignment horizontal="center"/>
    </xf>
    <xf numFmtId="2" fontId="69" fillId="7" borderId="3" xfId="0" applyNumberFormat="1" applyFont="1" applyFill="1" applyBorder="1" applyAlignment="1">
      <alignment horizontal="center"/>
    </xf>
    <xf numFmtId="4" fontId="69" fillId="7" borderId="3" xfId="0" applyNumberFormat="1" applyFont="1" applyFill="1" applyBorder="1" applyAlignment="1">
      <alignment horizontal="center"/>
    </xf>
    <xf numFmtId="4" fontId="69" fillId="7" borderId="3" xfId="0" applyNumberFormat="1" applyFont="1" applyFill="1" applyBorder="1" applyAlignment="1">
      <alignment horizontal="right"/>
    </xf>
    <xf numFmtId="0" fontId="62" fillId="0" borderId="3" xfId="0" applyFont="1" applyBorder="1">
      <alignment wrapText="1"/>
    </xf>
    <xf numFmtId="2" fontId="62" fillId="0" borderId="3" xfId="0" applyNumberFormat="1" applyFont="1" applyBorder="1" applyAlignment="1">
      <alignment horizontal="center" vertical="center" wrapText="1"/>
    </xf>
    <xf numFmtId="2" fontId="62" fillId="0" borderId="3" xfId="0" applyNumberFormat="1" applyFont="1" applyBorder="1">
      <alignment wrapText="1"/>
    </xf>
    <xf numFmtId="0" fontId="62" fillId="0" borderId="6" xfId="0" applyFont="1" applyBorder="1">
      <alignment wrapText="1"/>
    </xf>
    <xf numFmtId="0" fontId="62" fillId="0" borderId="11" xfId="0" applyFont="1" applyBorder="1">
      <alignment wrapText="1"/>
    </xf>
    <xf numFmtId="0" fontId="62" fillId="0" borderId="11" xfId="0" applyFont="1" applyBorder="1" applyAlignment="1">
      <alignment horizontal="center"/>
    </xf>
    <xf numFmtId="2" fontId="62" fillId="0" borderId="11" xfId="0" applyNumberFormat="1" applyFont="1" applyBorder="1" applyAlignment="1">
      <alignment horizontal="center" wrapText="1"/>
    </xf>
    <xf numFmtId="2" fontId="62" fillId="0" borderId="11" xfId="0" applyNumberFormat="1" applyFont="1" applyBorder="1">
      <alignment wrapText="1"/>
    </xf>
    <xf numFmtId="2" fontId="62" fillId="0" borderId="11" xfId="0" applyNumberFormat="1" applyFont="1" applyBorder="1" applyAlignment="1">
      <alignment horizontal="center" vertical="center" wrapText="1"/>
    </xf>
    <xf numFmtId="49" fontId="62" fillId="0" borderId="3" xfId="0" applyNumberFormat="1" applyFont="1" applyBorder="1">
      <alignment wrapText="1"/>
    </xf>
    <xf numFmtId="49" fontId="56" fillId="15" borderId="18" xfId="0" applyNumberFormat="1" applyFont="1" applyFill="1" applyBorder="1" applyAlignment="1">
      <alignment horizontal="center" vertical="center" wrapText="1"/>
    </xf>
    <xf numFmtId="49" fontId="56" fillId="15" borderId="20" xfId="0" applyNumberFormat="1" applyFont="1" applyFill="1" applyBorder="1" applyAlignment="1">
      <alignment horizontal="center" vertical="center" wrapText="1"/>
    </xf>
    <xf numFmtId="49" fontId="32" fillId="7" borderId="3" xfId="0" applyNumberFormat="1" applyFont="1" applyFill="1" applyBorder="1" applyAlignment="1" applyProtection="1">
      <alignment horizontal="center" vertical="center"/>
    </xf>
    <xf numFmtId="49" fontId="31" fillId="11" borderId="3" xfId="12" applyNumberFormat="1" applyFont="1" applyFill="1" applyBorder="1" applyAlignment="1">
      <alignment horizontal="center" vertical="center"/>
    </xf>
    <xf numFmtId="49" fontId="31" fillId="17" borderId="3" xfId="12" applyNumberFormat="1" applyFont="1" applyFill="1" applyBorder="1" applyAlignment="1">
      <alignment horizontal="center" vertical="center" wrapText="1"/>
    </xf>
    <xf numFmtId="49" fontId="31" fillId="0" borderId="0" xfId="0" applyNumberFormat="1" applyFont="1">
      <alignment wrapText="1"/>
    </xf>
    <xf numFmtId="49" fontId="31" fillId="8" borderId="3" xfId="12" applyNumberFormat="1" applyFont="1" applyFill="1" applyBorder="1" applyAlignment="1">
      <alignment horizontal="center" vertical="center"/>
    </xf>
    <xf numFmtId="49" fontId="31" fillId="0" borderId="3" xfId="12" applyNumberFormat="1" applyFont="1" applyFill="1" applyBorder="1" applyAlignment="1">
      <alignment horizontal="center" vertical="center"/>
    </xf>
    <xf numFmtId="49" fontId="62" fillId="8" borderId="3" xfId="12" applyNumberFormat="1" applyFont="1" applyFill="1" applyBorder="1" applyAlignment="1">
      <alignment horizontal="center" vertical="center"/>
    </xf>
    <xf numFmtId="2" fontId="31" fillId="8" borderId="3" xfId="12" applyNumberFormat="1" applyFont="1" applyFill="1" applyBorder="1" applyAlignment="1">
      <alignment horizontal="center" vertical="top" wrapText="1"/>
    </xf>
    <xf numFmtId="2" fontId="31" fillId="8" borderId="3" xfId="12" applyNumberFormat="1" applyFont="1" applyFill="1" applyBorder="1" applyAlignment="1">
      <alignment horizontal="left" vertical="top" wrapText="1"/>
    </xf>
  </cellXfs>
  <cellStyles count="21">
    <cellStyle name="Accent1" xfId="1" builtinId="29"/>
    <cellStyle name="Accent5" xfId="2" builtinId="45"/>
    <cellStyle name="Bad" xfId="3" builtinId="27"/>
    <cellStyle name="Comma" xfId="4" builtinId="3"/>
    <cellStyle name="Comma 2" xfId="5" xr:uid="{00000000-0005-0000-0000-000004000000}"/>
    <cellStyle name="Comma 3" xfId="20" xr:uid="{CD563AA9-81DE-40A0-9522-661AACB9C1F0}"/>
    <cellStyle name="Comma_a - Uredjaj_Novigrad_Gradjevinski_Radovi" xfId="6"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Normal 3 2" xfId="19" xr:uid="{7797950B-500E-4D96-81D7-5D49BA9AC98E}"/>
    <cellStyle name="Normal 3 3" xfId="18" xr:uid="{597AAF86-F1BD-4B3D-AF38-0297F2A15E4C}"/>
    <cellStyle name="Normal 3 4" xfId="17" xr:uid="{F95B70C7-98A3-4010-8D8E-3CE7D830A97D}"/>
    <cellStyle name="Normal 4" xfId="10" xr:uid="{00000000-0005-0000-0000-00000A000000}"/>
    <cellStyle name="Normal_a - Uredjaj_Novigrad_Gradjevinski_Radovi" xfId="11" xr:uid="{00000000-0005-0000-0000-00000B000000}"/>
    <cellStyle name="Normal_TROSKOVNIK_crpna_postaja" xfId="12" xr:uid="{00000000-0005-0000-0000-00000C000000}"/>
    <cellStyle name="Normal_Troskovnik_Kanalizacija" xfId="13" xr:uid="{00000000-0005-0000-0000-00000D000000}"/>
    <cellStyle name="Normalno 3" xfId="14" xr:uid="{00000000-0005-0000-0000-00000E000000}"/>
    <cellStyle name="Normalno 3 2" xfId="15" xr:uid="{00000000-0005-0000-0000-00000F000000}"/>
    <cellStyle name="Obično_List1" xfId="16" xr:uid="{00000000-0005-0000-0000-00001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armen.komljen.petos\AppData\Local\Microsoft\Windows\INetCache\Content.Outlook\H0DVNWQ4\KNJIGA%204_LOT%202_TRO&#352;KOVNI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T 2_REKAPITULACIJA"/>
      <sheetName val="LOT 2_GRAĐEVINSKI RADOVI"/>
      <sheetName val="1. Pitanja za KKP"/>
      <sheetName val="2. Pitanja za KKP"/>
      <sheetName val="LOT 2_crpne stanice"/>
      <sheetName val="LOT 2_havarijski ispusti"/>
    </sheetNames>
    <sheetDataSet>
      <sheetData sheetId="0" refreshError="1"/>
      <sheetData sheetId="1" refreshError="1">
        <row r="3">
          <cell r="B3" t="str">
            <v>KOLEKTORI</v>
          </cell>
        </row>
        <row r="387">
          <cell r="AM387">
            <v>1</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J356"/>
  <sheetViews>
    <sheetView view="pageBreakPreview" zoomScaleNormal="100" zoomScaleSheetLayoutView="100" workbookViewId="0">
      <selection activeCell="B14" sqref="B14"/>
    </sheetView>
  </sheetViews>
  <sheetFormatPr defaultRowHeight="14.25"/>
  <cols>
    <col min="1" max="1" width="58.28515625" style="610" customWidth="1"/>
    <col min="2" max="2" width="23.28515625" style="628" customWidth="1"/>
    <col min="3" max="3" width="8.5703125" style="627" customWidth="1"/>
    <col min="4" max="4" width="14.28515625" style="627" customWidth="1"/>
    <col min="5" max="5" width="16.5703125" style="627" customWidth="1"/>
    <col min="6" max="6" width="21.5703125" style="627" customWidth="1"/>
    <col min="7" max="70" width="9.140625" style="627"/>
    <col min="71" max="16384" width="9.140625" style="609"/>
  </cols>
  <sheetData>
    <row r="1" spans="1:166" s="618" customFormat="1" ht="32.25" customHeight="1">
      <c r="A1" s="1304" t="s">
        <v>2375</v>
      </c>
      <c r="B1" s="1305"/>
      <c r="C1" s="624"/>
      <c r="D1" s="625"/>
      <c r="E1" s="626"/>
      <c r="F1" s="626"/>
      <c r="G1" s="629"/>
      <c r="H1" s="629"/>
      <c r="I1" s="629"/>
      <c r="J1" s="629"/>
      <c r="K1" s="629"/>
      <c r="L1" s="629"/>
      <c r="M1" s="629"/>
      <c r="N1" s="629"/>
      <c r="O1" s="629"/>
      <c r="P1" s="629"/>
      <c r="Q1" s="629"/>
      <c r="R1" s="629"/>
      <c r="S1" s="629"/>
      <c r="T1" s="629"/>
      <c r="U1" s="629"/>
      <c r="V1" s="629"/>
      <c r="W1" s="629"/>
      <c r="X1" s="629"/>
      <c r="Y1" s="629"/>
      <c r="Z1" s="629"/>
      <c r="AA1" s="629"/>
      <c r="AB1" s="629"/>
      <c r="AC1" s="629"/>
      <c r="AD1" s="629"/>
      <c r="AE1" s="629"/>
      <c r="AF1" s="629"/>
      <c r="AG1" s="629"/>
      <c r="AH1" s="629"/>
      <c r="AI1" s="629"/>
      <c r="AJ1" s="629"/>
      <c r="AK1" s="629"/>
      <c r="AL1" s="629"/>
      <c r="AM1" s="629"/>
      <c r="AN1" s="629"/>
      <c r="AO1" s="629"/>
      <c r="AP1" s="629"/>
      <c r="AQ1" s="629"/>
      <c r="AR1" s="629"/>
      <c r="AS1" s="629"/>
      <c r="AT1" s="629"/>
      <c r="AU1" s="629"/>
      <c r="AV1" s="629"/>
      <c r="AW1" s="629"/>
      <c r="AX1" s="629"/>
      <c r="AY1" s="629"/>
      <c r="AZ1" s="629"/>
      <c r="BA1" s="629"/>
      <c r="BB1" s="629"/>
      <c r="BC1" s="629"/>
      <c r="BD1" s="629"/>
      <c r="BE1" s="629"/>
      <c r="BF1" s="629"/>
      <c r="BG1" s="629"/>
      <c r="BH1" s="629"/>
      <c r="BI1" s="629"/>
      <c r="BJ1" s="629"/>
      <c r="BK1" s="629"/>
      <c r="BL1" s="629"/>
      <c r="BM1" s="629"/>
      <c r="BN1" s="629"/>
      <c r="BO1" s="629"/>
      <c r="BP1" s="629"/>
      <c r="BQ1" s="629"/>
      <c r="BR1" s="629"/>
    </row>
    <row r="2" spans="1:166" s="1200" customFormat="1" ht="32.25" customHeight="1">
      <c r="A2" s="1199" t="s">
        <v>369</v>
      </c>
      <c r="B2" s="1049" t="s">
        <v>370</v>
      </c>
      <c r="C2" s="624"/>
      <c r="D2" s="625"/>
      <c r="E2" s="626"/>
      <c r="F2" s="626"/>
      <c r="G2" s="629"/>
      <c r="H2" s="629"/>
      <c r="I2" s="629"/>
      <c r="J2" s="629"/>
      <c r="K2" s="629"/>
      <c r="L2" s="629"/>
      <c r="M2" s="629"/>
      <c r="N2" s="629"/>
      <c r="O2" s="629"/>
      <c r="P2" s="629"/>
      <c r="Q2" s="629"/>
      <c r="R2" s="629"/>
      <c r="S2" s="629"/>
      <c r="T2" s="629"/>
      <c r="U2" s="629"/>
      <c r="V2" s="629"/>
      <c r="W2" s="629"/>
      <c r="X2" s="629"/>
      <c r="Y2" s="629"/>
      <c r="Z2" s="629"/>
      <c r="AA2" s="629"/>
      <c r="AB2" s="629"/>
      <c r="AC2" s="629"/>
      <c r="AD2" s="629"/>
      <c r="AE2" s="629"/>
      <c r="AF2" s="629"/>
      <c r="AG2" s="629"/>
      <c r="AH2" s="629"/>
      <c r="AI2" s="629"/>
      <c r="AJ2" s="629"/>
      <c r="AK2" s="629"/>
      <c r="AL2" s="629"/>
      <c r="AM2" s="629"/>
      <c r="AN2" s="629"/>
      <c r="AO2" s="629"/>
      <c r="AP2" s="629"/>
      <c r="AQ2" s="629"/>
      <c r="AR2" s="629"/>
      <c r="AS2" s="629"/>
      <c r="AT2" s="629"/>
      <c r="AU2" s="629"/>
      <c r="AV2" s="629"/>
      <c r="AW2" s="629"/>
      <c r="AX2" s="629"/>
      <c r="AY2" s="629"/>
      <c r="AZ2" s="629"/>
      <c r="BA2" s="629"/>
      <c r="BB2" s="629"/>
      <c r="BC2" s="629"/>
      <c r="BD2" s="629"/>
      <c r="BE2" s="629"/>
      <c r="BF2" s="629"/>
      <c r="BG2" s="629"/>
      <c r="BH2" s="629"/>
      <c r="BI2" s="629"/>
      <c r="BJ2" s="629"/>
      <c r="BK2" s="629"/>
      <c r="BL2" s="629"/>
      <c r="BM2" s="629"/>
      <c r="BN2" s="629"/>
      <c r="BO2" s="629"/>
      <c r="BP2" s="629"/>
      <c r="BQ2" s="629"/>
      <c r="BR2" s="629"/>
    </row>
    <row r="3" spans="1:166" s="1207" customFormat="1" ht="25.5" customHeight="1">
      <c r="A3" s="1198" t="str">
        <f>'1. KOLEKTORI'!A1</f>
        <v>1. KOLEKTORI - IZGRADNJA I REKONSTRUKCIJA</v>
      </c>
      <c r="B3" s="1201">
        <f>'1. KOLEKTORI'!P4</f>
        <v>0</v>
      </c>
      <c r="C3" s="1202"/>
      <c r="D3" s="1203"/>
      <c r="E3" s="1204"/>
      <c r="F3" s="1204"/>
      <c r="G3" s="1202"/>
      <c r="H3" s="1202"/>
      <c r="I3" s="1202"/>
      <c r="J3" s="1202"/>
      <c r="K3" s="1202"/>
      <c r="L3" s="1202"/>
      <c r="M3" s="1202"/>
      <c r="N3" s="1202"/>
      <c r="O3" s="1202"/>
      <c r="P3" s="1202"/>
      <c r="Q3" s="1202"/>
      <c r="R3" s="1202"/>
      <c r="S3" s="1202"/>
      <c r="T3" s="1202"/>
      <c r="U3" s="1202"/>
      <c r="V3" s="1202"/>
      <c r="W3" s="1202"/>
      <c r="X3" s="1202"/>
      <c r="Y3" s="1202"/>
      <c r="Z3" s="1202"/>
      <c r="AA3" s="1202"/>
      <c r="AB3" s="1202"/>
      <c r="AC3" s="1202"/>
      <c r="AD3" s="1202"/>
      <c r="AE3" s="1202"/>
      <c r="AF3" s="1202"/>
      <c r="AG3" s="1202"/>
      <c r="AH3" s="1202"/>
      <c r="AI3" s="1202"/>
      <c r="AJ3" s="1202"/>
      <c r="AK3" s="1202"/>
      <c r="AL3" s="1202"/>
      <c r="AM3" s="1202"/>
      <c r="AN3" s="1202"/>
      <c r="AO3" s="1202"/>
      <c r="AP3" s="1202"/>
      <c r="AQ3" s="1202"/>
      <c r="AR3" s="1202"/>
      <c r="AS3" s="1202"/>
      <c r="AT3" s="1202"/>
      <c r="AU3" s="1202"/>
      <c r="AV3" s="1202"/>
      <c r="AW3" s="1202"/>
      <c r="AX3" s="1202"/>
      <c r="AY3" s="1202"/>
      <c r="AZ3" s="1202"/>
      <c r="BA3" s="1202"/>
      <c r="BB3" s="1202"/>
      <c r="BC3" s="1202"/>
      <c r="BD3" s="1202"/>
      <c r="BE3" s="1202"/>
      <c r="BF3" s="1202"/>
      <c r="BG3" s="1202"/>
      <c r="BH3" s="1202"/>
      <c r="BI3" s="1202"/>
      <c r="BJ3" s="1202"/>
      <c r="BK3" s="1202"/>
      <c r="BL3" s="1202"/>
      <c r="BM3" s="1202"/>
      <c r="BN3" s="1202"/>
      <c r="BO3" s="1202"/>
      <c r="BP3" s="1202"/>
      <c r="BQ3" s="1202"/>
      <c r="BR3" s="1202"/>
      <c r="BS3" s="1205"/>
      <c r="BT3" s="1206"/>
      <c r="BU3" s="1206"/>
      <c r="BV3" s="1206"/>
      <c r="BW3" s="1206"/>
      <c r="BX3" s="1206"/>
      <c r="BY3" s="1206"/>
      <c r="BZ3" s="1206"/>
      <c r="CA3" s="1206"/>
      <c r="CB3" s="1206"/>
      <c r="CC3" s="1206"/>
      <c r="CD3" s="1206"/>
      <c r="CE3" s="1206"/>
      <c r="CF3" s="1206"/>
      <c r="CG3" s="1206"/>
      <c r="CH3" s="1206"/>
      <c r="CI3" s="1206"/>
      <c r="CJ3" s="1206"/>
      <c r="CK3" s="1206"/>
      <c r="CL3" s="1206"/>
      <c r="CM3" s="1206"/>
      <c r="CN3" s="1206"/>
      <c r="CO3" s="1206"/>
      <c r="CP3" s="1206"/>
      <c r="CQ3" s="1206"/>
      <c r="CR3" s="1206"/>
      <c r="CS3" s="1206"/>
      <c r="CT3" s="1206"/>
      <c r="CU3" s="1206"/>
      <c r="CV3" s="1206"/>
      <c r="CW3" s="1206"/>
      <c r="CX3" s="1206"/>
      <c r="CY3" s="1206"/>
      <c r="CZ3" s="1206"/>
      <c r="DA3" s="1206"/>
      <c r="DB3" s="1206"/>
      <c r="DC3" s="1206"/>
      <c r="DD3" s="1206"/>
      <c r="DE3" s="1206"/>
      <c r="DF3" s="1206"/>
      <c r="DG3" s="1206"/>
      <c r="DH3" s="1206"/>
      <c r="DI3" s="1206"/>
      <c r="DJ3" s="1206"/>
      <c r="DK3" s="1206"/>
      <c r="DL3" s="1206"/>
      <c r="DM3" s="1206"/>
      <c r="DN3" s="1206"/>
      <c r="DO3" s="1206"/>
      <c r="DP3" s="1206"/>
      <c r="DQ3" s="1206"/>
      <c r="DR3" s="1206"/>
      <c r="DS3" s="1206"/>
      <c r="DT3" s="1206"/>
      <c r="DU3" s="1206"/>
      <c r="DV3" s="1206"/>
      <c r="DW3" s="1206"/>
      <c r="DX3" s="1206"/>
      <c r="DY3" s="1206"/>
      <c r="DZ3" s="1206"/>
      <c r="EA3" s="1206"/>
      <c r="EB3" s="1206"/>
      <c r="EC3" s="1206"/>
      <c r="ED3" s="1206"/>
      <c r="EE3" s="1206"/>
      <c r="EF3" s="1206"/>
      <c r="EG3" s="1206"/>
      <c r="EH3" s="1206"/>
      <c r="EI3" s="1206"/>
      <c r="EJ3" s="1206"/>
      <c r="EK3" s="1206"/>
      <c r="EL3" s="1206"/>
      <c r="EM3" s="1206"/>
      <c r="EN3" s="1206"/>
      <c r="EO3" s="1206"/>
      <c r="EP3" s="1206"/>
      <c r="EQ3" s="1206"/>
      <c r="ER3" s="1206"/>
      <c r="ES3" s="1206"/>
      <c r="ET3" s="1206"/>
      <c r="EU3" s="1206"/>
      <c r="EV3" s="1206"/>
      <c r="EW3" s="1206"/>
      <c r="EX3" s="1206"/>
      <c r="EY3" s="1206"/>
      <c r="EZ3" s="1206"/>
      <c r="FA3" s="1206"/>
      <c r="FB3" s="1206"/>
      <c r="FC3" s="1206"/>
      <c r="FD3" s="1206"/>
      <c r="FE3" s="1206"/>
      <c r="FF3" s="1206"/>
      <c r="FG3" s="1206"/>
      <c r="FH3" s="1206"/>
      <c r="FI3" s="1206"/>
      <c r="FJ3" s="1206"/>
    </row>
    <row r="4" spans="1:166" s="1207" customFormat="1" ht="25.5" customHeight="1">
      <c r="A4" s="1198" t="str">
        <f>'2. SANACIJA KOLEKTORA- CIPP'!A1</f>
        <v>2. KOLEKTORI - SANACIJA (CIPP)</v>
      </c>
      <c r="B4" s="1201">
        <f>'2. SANACIJA KOLEKTORA- CIPP'!G3</f>
        <v>0</v>
      </c>
      <c r="C4" s="1202"/>
      <c r="D4" s="1203"/>
      <c r="E4" s="1204"/>
      <c r="F4" s="1204"/>
      <c r="G4" s="1202"/>
      <c r="H4" s="1202"/>
      <c r="I4" s="1202"/>
      <c r="J4" s="1202"/>
      <c r="K4" s="1202"/>
      <c r="L4" s="1202"/>
      <c r="M4" s="1202"/>
      <c r="N4" s="1202"/>
      <c r="O4" s="1202"/>
      <c r="P4" s="1202"/>
      <c r="Q4" s="1202"/>
      <c r="R4" s="1202"/>
      <c r="S4" s="1202"/>
      <c r="T4" s="1202"/>
      <c r="U4" s="1202"/>
      <c r="V4" s="1202"/>
      <c r="W4" s="1202"/>
      <c r="X4" s="1202"/>
      <c r="Y4" s="1202"/>
      <c r="Z4" s="1202"/>
      <c r="AA4" s="1202"/>
      <c r="AB4" s="1202"/>
      <c r="AC4" s="1202"/>
      <c r="AD4" s="1202"/>
      <c r="AE4" s="1202"/>
      <c r="AF4" s="1202"/>
      <c r="AG4" s="1202"/>
      <c r="AH4" s="1202"/>
      <c r="AI4" s="1202"/>
      <c r="AJ4" s="1202"/>
      <c r="AK4" s="1202"/>
      <c r="AL4" s="1202"/>
      <c r="AM4" s="1202"/>
      <c r="AN4" s="1202"/>
      <c r="AO4" s="1202"/>
      <c r="AP4" s="1202"/>
      <c r="AQ4" s="1202"/>
      <c r="AR4" s="1202"/>
      <c r="AS4" s="1202"/>
      <c r="AT4" s="1202"/>
      <c r="AU4" s="1202"/>
      <c r="AV4" s="1202"/>
      <c r="AW4" s="1202"/>
      <c r="AX4" s="1202"/>
      <c r="AY4" s="1202"/>
      <c r="AZ4" s="1202"/>
      <c r="BA4" s="1202"/>
      <c r="BB4" s="1202"/>
      <c r="BC4" s="1202"/>
      <c r="BD4" s="1202"/>
      <c r="BE4" s="1202"/>
      <c r="BF4" s="1202"/>
      <c r="BG4" s="1202"/>
      <c r="BH4" s="1202"/>
      <c r="BI4" s="1202"/>
      <c r="BJ4" s="1202"/>
      <c r="BK4" s="1202"/>
      <c r="BL4" s="1202"/>
      <c r="BM4" s="1202"/>
      <c r="BN4" s="1202"/>
      <c r="BO4" s="1202"/>
      <c r="BP4" s="1202"/>
      <c r="BQ4" s="1202"/>
      <c r="BR4" s="1202"/>
      <c r="BS4" s="1205"/>
      <c r="BT4" s="1206"/>
      <c r="BU4" s="1206"/>
      <c r="BV4" s="1206"/>
      <c r="BW4" s="1206"/>
      <c r="BX4" s="1206"/>
      <c r="BY4" s="1206"/>
      <c r="BZ4" s="1206"/>
      <c r="CA4" s="1206"/>
      <c r="CB4" s="1206"/>
      <c r="CC4" s="1206"/>
      <c r="CD4" s="1206"/>
      <c r="CE4" s="1206"/>
      <c r="CF4" s="1206"/>
      <c r="CG4" s="1206"/>
      <c r="CH4" s="1206"/>
      <c r="CI4" s="1206"/>
      <c r="CJ4" s="1206"/>
      <c r="CK4" s="1206"/>
      <c r="CL4" s="1206"/>
      <c r="CM4" s="1206"/>
      <c r="CN4" s="1206"/>
      <c r="CO4" s="1206"/>
      <c r="CP4" s="1206"/>
      <c r="CQ4" s="1206"/>
      <c r="CR4" s="1206"/>
      <c r="CS4" s="1206"/>
      <c r="CT4" s="1206"/>
      <c r="CU4" s="1206"/>
      <c r="CV4" s="1206"/>
      <c r="CW4" s="1206"/>
      <c r="CX4" s="1206"/>
      <c r="CY4" s="1206"/>
      <c r="CZ4" s="1206"/>
      <c r="DA4" s="1206"/>
      <c r="DB4" s="1206"/>
      <c r="DC4" s="1206"/>
      <c r="DD4" s="1206"/>
      <c r="DE4" s="1206"/>
      <c r="DF4" s="1206"/>
      <c r="DG4" s="1206"/>
      <c r="DH4" s="1206"/>
      <c r="DI4" s="1206"/>
      <c r="DJ4" s="1206"/>
      <c r="DK4" s="1206"/>
      <c r="DL4" s="1206"/>
      <c r="DM4" s="1206"/>
      <c r="DN4" s="1206"/>
      <c r="DO4" s="1206"/>
      <c r="DP4" s="1206"/>
      <c r="DQ4" s="1206"/>
      <c r="DR4" s="1206"/>
      <c r="DS4" s="1206"/>
      <c r="DT4" s="1206"/>
      <c r="DU4" s="1206"/>
      <c r="DV4" s="1206"/>
      <c r="DW4" s="1206"/>
      <c r="DX4" s="1206"/>
      <c r="DY4" s="1206"/>
      <c r="DZ4" s="1206"/>
      <c r="EA4" s="1206"/>
      <c r="EB4" s="1206"/>
      <c r="EC4" s="1206"/>
      <c r="ED4" s="1206"/>
      <c r="EE4" s="1206"/>
      <c r="EF4" s="1206"/>
      <c r="EG4" s="1206"/>
      <c r="EH4" s="1206"/>
      <c r="EI4" s="1206"/>
      <c r="EJ4" s="1206"/>
      <c r="EK4" s="1206"/>
      <c r="EL4" s="1206"/>
      <c r="EM4" s="1206"/>
      <c r="EN4" s="1206"/>
      <c r="EO4" s="1206"/>
      <c r="EP4" s="1206"/>
      <c r="EQ4" s="1206"/>
      <c r="ER4" s="1206"/>
      <c r="ES4" s="1206"/>
      <c r="ET4" s="1206"/>
      <c r="EU4" s="1206"/>
      <c r="EV4" s="1206"/>
      <c r="EW4" s="1206"/>
      <c r="EX4" s="1206"/>
      <c r="EY4" s="1206"/>
      <c r="EZ4" s="1206"/>
      <c r="FA4" s="1206"/>
      <c r="FB4" s="1206"/>
      <c r="FC4" s="1206"/>
      <c r="FD4" s="1206"/>
      <c r="FE4" s="1206"/>
      <c r="FF4" s="1206"/>
      <c r="FG4" s="1206"/>
      <c r="FH4" s="1206"/>
      <c r="FI4" s="1206"/>
      <c r="FJ4" s="1206"/>
    </row>
    <row r="5" spans="1:166" s="1207" customFormat="1" ht="25.5" customHeight="1">
      <c r="A5" s="1198" t="str">
        <f>'3. PRELJEVI'!A1</f>
        <v>3. PRELJEVI</v>
      </c>
      <c r="B5" s="1201">
        <f>'3. PRELJEVI'!K3</f>
        <v>0</v>
      </c>
      <c r="C5" s="1202"/>
      <c r="D5" s="1203"/>
      <c r="E5" s="1204"/>
      <c r="F5" s="1204"/>
      <c r="G5" s="1202"/>
      <c r="H5" s="1202"/>
      <c r="I5" s="1202"/>
      <c r="J5" s="1202"/>
      <c r="K5" s="1202"/>
      <c r="L5" s="1202"/>
      <c r="M5" s="1202"/>
      <c r="N5" s="1202"/>
      <c r="O5" s="1202"/>
      <c r="P5" s="1202"/>
      <c r="Q5" s="1202"/>
      <c r="R5" s="1202"/>
      <c r="S5" s="1202"/>
      <c r="T5" s="1202"/>
      <c r="U5" s="1202"/>
      <c r="V5" s="1202"/>
      <c r="W5" s="1202"/>
      <c r="X5" s="1202"/>
      <c r="Y5" s="1202"/>
      <c r="Z5" s="1202"/>
      <c r="AA5" s="1202"/>
      <c r="AB5" s="1202"/>
      <c r="AC5" s="1202"/>
      <c r="AD5" s="1202"/>
      <c r="AE5" s="1202"/>
      <c r="AF5" s="1202"/>
      <c r="AG5" s="1202"/>
      <c r="AH5" s="1202"/>
      <c r="AI5" s="1202"/>
      <c r="AJ5" s="1202"/>
      <c r="AK5" s="1202"/>
      <c r="AL5" s="1202"/>
      <c r="AM5" s="1202"/>
      <c r="AN5" s="1202"/>
      <c r="AO5" s="1202"/>
      <c r="AP5" s="1202"/>
      <c r="AQ5" s="1202"/>
      <c r="AR5" s="1202"/>
      <c r="AS5" s="1202"/>
      <c r="AT5" s="1202"/>
      <c r="AU5" s="1202"/>
      <c r="AV5" s="1202"/>
      <c r="AW5" s="1202"/>
      <c r="AX5" s="1202"/>
      <c r="AY5" s="1202"/>
      <c r="AZ5" s="1202"/>
      <c r="BA5" s="1202"/>
      <c r="BB5" s="1202"/>
      <c r="BC5" s="1202"/>
      <c r="BD5" s="1202"/>
      <c r="BE5" s="1202"/>
      <c r="BF5" s="1202"/>
      <c r="BG5" s="1202"/>
      <c r="BH5" s="1202"/>
      <c r="BI5" s="1202"/>
      <c r="BJ5" s="1202"/>
      <c r="BK5" s="1202"/>
      <c r="BL5" s="1202"/>
      <c r="BM5" s="1202"/>
      <c r="BN5" s="1202"/>
      <c r="BO5" s="1202"/>
      <c r="BP5" s="1202"/>
      <c r="BQ5" s="1202"/>
      <c r="BR5" s="1202"/>
      <c r="BS5" s="1205"/>
      <c r="BT5" s="1206"/>
      <c r="BU5" s="1206"/>
      <c r="BV5" s="1206"/>
      <c r="BW5" s="1206"/>
      <c r="BX5" s="1206"/>
      <c r="BY5" s="1206"/>
      <c r="BZ5" s="1206"/>
      <c r="CA5" s="1206"/>
      <c r="CB5" s="1206"/>
      <c r="CC5" s="1206"/>
      <c r="CD5" s="1206"/>
      <c r="CE5" s="1206"/>
      <c r="CF5" s="1206"/>
      <c r="CG5" s="1206"/>
      <c r="CH5" s="1206"/>
      <c r="CI5" s="1206"/>
      <c r="CJ5" s="1206"/>
      <c r="CK5" s="1206"/>
      <c r="CL5" s="1206"/>
      <c r="CM5" s="1206"/>
      <c r="CN5" s="1206"/>
      <c r="CO5" s="1206"/>
      <c r="CP5" s="1206"/>
      <c r="CQ5" s="1206"/>
      <c r="CR5" s="1206"/>
      <c r="CS5" s="1206"/>
      <c r="CT5" s="1206"/>
      <c r="CU5" s="1206"/>
      <c r="CV5" s="1206"/>
      <c r="CW5" s="1206"/>
      <c r="CX5" s="1206"/>
      <c r="CY5" s="1206"/>
      <c r="CZ5" s="1206"/>
      <c r="DA5" s="1206"/>
      <c r="DB5" s="1206"/>
      <c r="DC5" s="1206"/>
      <c r="DD5" s="1206"/>
      <c r="DE5" s="1206"/>
      <c r="DF5" s="1206"/>
      <c r="DG5" s="1206"/>
      <c r="DH5" s="1206"/>
      <c r="DI5" s="1206"/>
      <c r="DJ5" s="1206"/>
      <c r="DK5" s="1206"/>
      <c r="DL5" s="1206"/>
      <c r="DM5" s="1206"/>
      <c r="DN5" s="1206"/>
      <c r="DO5" s="1206"/>
      <c r="DP5" s="1206"/>
      <c r="DQ5" s="1206"/>
      <c r="DR5" s="1206"/>
      <c r="DS5" s="1206"/>
      <c r="DT5" s="1206"/>
      <c r="DU5" s="1206"/>
      <c r="DV5" s="1206"/>
      <c r="DW5" s="1206"/>
      <c r="DX5" s="1206"/>
      <c r="DY5" s="1206"/>
      <c r="DZ5" s="1206"/>
      <c r="EA5" s="1206"/>
      <c r="EB5" s="1206"/>
      <c r="EC5" s="1206"/>
      <c r="ED5" s="1206"/>
      <c r="EE5" s="1206"/>
      <c r="EF5" s="1206"/>
      <c r="EG5" s="1206"/>
      <c r="EH5" s="1206"/>
      <c r="EI5" s="1206"/>
      <c r="EJ5" s="1206"/>
      <c r="EK5" s="1206"/>
      <c r="EL5" s="1206"/>
      <c r="EM5" s="1206"/>
      <c r="EN5" s="1206"/>
      <c r="EO5" s="1206"/>
      <c r="EP5" s="1206"/>
      <c r="EQ5" s="1206"/>
      <c r="ER5" s="1206"/>
      <c r="ES5" s="1206"/>
      <c r="ET5" s="1206"/>
      <c r="EU5" s="1206"/>
      <c r="EV5" s="1206"/>
      <c r="EW5" s="1206"/>
      <c r="EX5" s="1206"/>
      <c r="EY5" s="1206"/>
      <c r="EZ5" s="1206"/>
      <c r="FA5" s="1206"/>
      <c r="FB5" s="1206"/>
      <c r="FC5" s="1206"/>
      <c r="FD5" s="1206"/>
      <c r="FE5" s="1206"/>
      <c r="FF5" s="1206"/>
      <c r="FG5" s="1206"/>
      <c r="FH5" s="1206"/>
      <c r="FI5" s="1206"/>
      <c r="FJ5" s="1206"/>
    </row>
    <row r="6" spans="1:166" s="1207" customFormat="1">
      <c r="A6" s="1198" t="str">
        <f>'4. VODOOPSKRBA građ'!A1</f>
        <v>4. VODOVOD -  IZGRADNJA (GRAĐEVINSKI RADOVI)</v>
      </c>
      <c r="B6" s="1201">
        <f>'4. VODOOPSKRBA građ'!M4</f>
        <v>0</v>
      </c>
      <c r="C6" s="1202"/>
      <c r="D6" s="1203"/>
      <c r="E6" s="1204"/>
      <c r="F6" s="1204"/>
      <c r="G6" s="1202"/>
      <c r="H6" s="1202"/>
      <c r="I6" s="1202"/>
      <c r="J6" s="1202"/>
      <c r="K6" s="1202"/>
      <c r="L6" s="1202"/>
      <c r="M6" s="1202"/>
      <c r="N6" s="1202"/>
      <c r="O6" s="1202"/>
      <c r="P6" s="1202"/>
      <c r="Q6" s="1202"/>
      <c r="R6" s="1202"/>
      <c r="S6" s="1202"/>
      <c r="T6" s="1202"/>
      <c r="U6" s="1202"/>
      <c r="V6" s="1202"/>
      <c r="W6" s="1202"/>
      <c r="X6" s="1202"/>
      <c r="Y6" s="1202"/>
      <c r="Z6" s="1202"/>
      <c r="AA6" s="1202"/>
      <c r="AB6" s="1202"/>
      <c r="AC6" s="1202"/>
      <c r="AD6" s="1202"/>
      <c r="AE6" s="1202"/>
      <c r="AF6" s="1202"/>
      <c r="AG6" s="1202"/>
      <c r="AH6" s="1202"/>
      <c r="AI6" s="1202"/>
      <c r="AJ6" s="1202"/>
      <c r="AK6" s="1202"/>
      <c r="AL6" s="1202"/>
      <c r="AM6" s="1202"/>
      <c r="AN6" s="1202"/>
      <c r="AO6" s="1202"/>
      <c r="AP6" s="1202"/>
      <c r="AQ6" s="1202"/>
      <c r="AR6" s="1202"/>
      <c r="AS6" s="1202"/>
      <c r="AT6" s="1202"/>
      <c r="AU6" s="1202"/>
      <c r="AV6" s="1202"/>
      <c r="AW6" s="1202"/>
      <c r="AX6" s="1202"/>
      <c r="AY6" s="1202"/>
      <c r="AZ6" s="1202"/>
      <c r="BA6" s="1202"/>
      <c r="BB6" s="1202"/>
      <c r="BC6" s="1202"/>
      <c r="BD6" s="1202"/>
      <c r="BE6" s="1202"/>
      <c r="BF6" s="1202"/>
      <c r="BG6" s="1202"/>
      <c r="BH6" s="1202"/>
      <c r="BI6" s="1202"/>
      <c r="BJ6" s="1202"/>
      <c r="BK6" s="1202"/>
      <c r="BL6" s="1202"/>
      <c r="BM6" s="1202"/>
      <c r="BN6" s="1202"/>
      <c r="BO6" s="1202"/>
      <c r="BP6" s="1202"/>
      <c r="BQ6" s="1202"/>
      <c r="BR6" s="1202"/>
      <c r="BS6" s="1205"/>
      <c r="BT6" s="1206"/>
      <c r="BU6" s="1206"/>
      <c r="BV6" s="1206"/>
      <c r="BW6" s="1206"/>
      <c r="BX6" s="1206"/>
      <c r="BY6" s="1206"/>
      <c r="BZ6" s="1206"/>
      <c r="CA6" s="1206"/>
      <c r="CB6" s="1206"/>
      <c r="CC6" s="1206"/>
      <c r="CD6" s="1206"/>
      <c r="CE6" s="1206"/>
      <c r="CF6" s="1206"/>
      <c r="CG6" s="1206"/>
      <c r="CH6" s="1206"/>
      <c r="CI6" s="1206"/>
      <c r="CJ6" s="1206"/>
      <c r="CK6" s="1206"/>
      <c r="CL6" s="1206"/>
      <c r="CM6" s="1206"/>
      <c r="CN6" s="1206"/>
      <c r="CO6" s="1206"/>
      <c r="CP6" s="1206"/>
      <c r="CQ6" s="1206"/>
      <c r="CR6" s="1206"/>
      <c r="CS6" s="1206"/>
      <c r="CT6" s="1206"/>
      <c r="CU6" s="1206"/>
      <c r="CV6" s="1206"/>
      <c r="CW6" s="1206"/>
      <c r="CX6" s="1206"/>
      <c r="CY6" s="1206"/>
      <c r="CZ6" s="1206"/>
      <c r="DA6" s="1206"/>
      <c r="DB6" s="1206"/>
      <c r="DC6" s="1206"/>
      <c r="DD6" s="1206"/>
      <c r="DE6" s="1206"/>
      <c r="DF6" s="1206"/>
      <c r="DG6" s="1206"/>
      <c r="DH6" s="1206"/>
      <c r="DI6" s="1206"/>
      <c r="DJ6" s="1206"/>
      <c r="DK6" s="1206"/>
      <c r="DL6" s="1206"/>
      <c r="DM6" s="1206"/>
      <c r="DN6" s="1206"/>
      <c r="DO6" s="1206"/>
      <c r="DP6" s="1206"/>
      <c r="DQ6" s="1206"/>
      <c r="DR6" s="1206"/>
      <c r="DS6" s="1206"/>
      <c r="DT6" s="1206"/>
      <c r="DU6" s="1206"/>
      <c r="DV6" s="1206"/>
      <c r="DW6" s="1206"/>
      <c r="DX6" s="1206"/>
      <c r="DY6" s="1206"/>
      <c r="DZ6" s="1206"/>
      <c r="EA6" s="1206"/>
      <c r="EB6" s="1206"/>
      <c r="EC6" s="1206"/>
      <c r="ED6" s="1206"/>
      <c r="EE6" s="1206"/>
      <c r="EF6" s="1206"/>
      <c r="EG6" s="1206"/>
      <c r="EH6" s="1206"/>
      <c r="EI6" s="1206"/>
      <c r="EJ6" s="1206"/>
      <c r="EK6" s="1206"/>
      <c r="EL6" s="1206"/>
      <c r="EM6" s="1206"/>
      <c r="EN6" s="1206"/>
      <c r="EO6" s="1206"/>
      <c r="EP6" s="1206"/>
      <c r="EQ6" s="1206"/>
      <c r="ER6" s="1206"/>
      <c r="ES6" s="1206"/>
      <c r="ET6" s="1206"/>
      <c r="EU6" s="1206"/>
      <c r="EV6" s="1206"/>
      <c r="EW6" s="1206"/>
      <c r="EX6" s="1206"/>
      <c r="EY6" s="1206"/>
      <c r="EZ6" s="1206"/>
      <c r="FA6" s="1206"/>
      <c r="FB6" s="1206"/>
      <c r="FC6" s="1206"/>
      <c r="FD6" s="1206"/>
      <c r="FE6" s="1206"/>
      <c r="FF6" s="1206"/>
      <c r="FG6" s="1206"/>
      <c r="FH6" s="1206"/>
      <c r="FI6" s="1206"/>
      <c r="FJ6" s="1206"/>
    </row>
    <row r="7" spans="1:166" s="1207" customFormat="1" ht="25.5" customHeight="1">
      <c r="A7" s="1198" t="str">
        <f>'5. REKONSTR VODOVODA građ'!A1</f>
        <v>5. VODOVOD - REKONSTRUKCIJA (GRAĐEVINSKI RADOVI)</v>
      </c>
      <c r="B7" s="1201">
        <f>'5. REKONSTR VODOVODA građ'!AC4</f>
        <v>0</v>
      </c>
      <c r="C7" s="1202"/>
      <c r="D7" s="1203"/>
      <c r="E7" s="1204"/>
      <c r="F7" s="1204"/>
      <c r="G7" s="1202"/>
      <c r="H7" s="1202"/>
      <c r="I7" s="1202"/>
      <c r="J7" s="1202"/>
      <c r="K7" s="1202"/>
      <c r="L7" s="1202"/>
      <c r="M7" s="1202"/>
      <c r="N7" s="1202"/>
      <c r="O7" s="1202"/>
      <c r="P7" s="1202"/>
      <c r="Q7" s="1202"/>
      <c r="R7" s="1202"/>
      <c r="S7" s="1202"/>
      <c r="T7" s="1202"/>
      <c r="U7" s="1202"/>
      <c r="V7" s="1202"/>
      <c r="W7" s="1202"/>
      <c r="X7" s="1202"/>
      <c r="Y7" s="1202"/>
      <c r="Z7" s="1202"/>
      <c r="AA7" s="1202"/>
      <c r="AB7" s="1202"/>
      <c r="AC7" s="1202"/>
      <c r="AD7" s="1202"/>
      <c r="AE7" s="1202"/>
      <c r="AF7" s="1202"/>
      <c r="AG7" s="1202"/>
      <c r="AH7" s="1202"/>
      <c r="AI7" s="1202"/>
      <c r="AJ7" s="1202"/>
      <c r="AK7" s="1202"/>
      <c r="AL7" s="1202"/>
      <c r="AM7" s="1202"/>
      <c r="AN7" s="1202"/>
      <c r="AO7" s="1202"/>
      <c r="AP7" s="1202"/>
      <c r="AQ7" s="1202"/>
      <c r="AR7" s="1202"/>
      <c r="AS7" s="1202"/>
      <c r="AT7" s="1202"/>
      <c r="AU7" s="1202"/>
      <c r="AV7" s="1202"/>
      <c r="AW7" s="1202"/>
      <c r="AX7" s="1202"/>
      <c r="AY7" s="1202"/>
      <c r="AZ7" s="1202"/>
      <c r="BA7" s="1202"/>
      <c r="BB7" s="1202"/>
      <c r="BC7" s="1202"/>
      <c r="BD7" s="1202"/>
      <c r="BE7" s="1202"/>
      <c r="BF7" s="1202"/>
      <c r="BG7" s="1202"/>
      <c r="BH7" s="1202"/>
      <c r="BI7" s="1202"/>
      <c r="BJ7" s="1202"/>
      <c r="BK7" s="1202"/>
      <c r="BL7" s="1202"/>
      <c r="BM7" s="1202"/>
      <c r="BN7" s="1202"/>
      <c r="BO7" s="1202"/>
      <c r="BP7" s="1202"/>
      <c r="BQ7" s="1202"/>
      <c r="BR7" s="1202"/>
      <c r="BS7" s="1205"/>
      <c r="BT7" s="1206"/>
      <c r="BU7" s="1206"/>
      <c r="BV7" s="1206"/>
      <c r="BW7" s="1206"/>
      <c r="BX7" s="1206"/>
      <c r="BY7" s="1206"/>
      <c r="BZ7" s="1206"/>
      <c r="CA7" s="1206"/>
      <c r="CB7" s="1206"/>
      <c r="CC7" s="1206"/>
      <c r="CD7" s="1206"/>
      <c r="CE7" s="1206"/>
      <c r="CF7" s="1206"/>
      <c r="CG7" s="1206"/>
      <c r="CH7" s="1206"/>
      <c r="CI7" s="1206"/>
      <c r="CJ7" s="1206"/>
      <c r="CK7" s="1206"/>
      <c r="CL7" s="1206"/>
      <c r="CM7" s="1206"/>
      <c r="CN7" s="1206"/>
      <c r="CO7" s="1206"/>
      <c r="CP7" s="1206"/>
      <c r="CQ7" s="1206"/>
      <c r="CR7" s="1206"/>
      <c r="CS7" s="1206"/>
      <c r="CT7" s="1206"/>
      <c r="CU7" s="1206"/>
      <c r="CV7" s="1206"/>
      <c r="CW7" s="1206"/>
      <c r="CX7" s="1206"/>
      <c r="CY7" s="1206"/>
      <c r="CZ7" s="1206"/>
      <c r="DA7" s="1206"/>
      <c r="DB7" s="1206"/>
      <c r="DC7" s="1206"/>
      <c r="DD7" s="1206"/>
      <c r="DE7" s="1206"/>
      <c r="DF7" s="1206"/>
      <c r="DG7" s="1206"/>
      <c r="DH7" s="1206"/>
      <c r="DI7" s="1206"/>
      <c r="DJ7" s="1206"/>
      <c r="DK7" s="1206"/>
      <c r="DL7" s="1206"/>
      <c r="DM7" s="1206"/>
      <c r="DN7" s="1206"/>
      <c r="DO7" s="1206"/>
      <c r="DP7" s="1206"/>
      <c r="DQ7" s="1206"/>
      <c r="DR7" s="1206"/>
      <c r="DS7" s="1206"/>
      <c r="DT7" s="1206"/>
      <c r="DU7" s="1206"/>
      <c r="DV7" s="1206"/>
      <c r="DW7" s="1206"/>
      <c r="DX7" s="1206"/>
      <c r="DY7" s="1206"/>
      <c r="DZ7" s="1206"/>
      <c r="EA7" s="1206"/>
      <c r="EB7" s="1206"/>
      <c r="EC7" s="1206"/>
      <c r="ED7" s="1206"/>
      <c r="EE7" s="1206"/>
      <c r="EF7" s="1206"/>
      <c r="EG7" s="1206"/>
      <c r="EH7" s="1206"/>
      <c r="EI7" s="1206"/>
      <c r="EJ7" s="1206"/>
      <c r="EK7" s="1206"/>
      <c r="EL7" s="1206"/>
      <c r="EM7" s="1206"/>
      <c r="EN7" s="1206"/>
      <c r="EO7" s="1206"/>
      <c r="EP7" s="1206"/>
      <c r="EQ7" s="1206"/>
      <c r="ER7" s="1206"/>
      <c r="ES7" s="1206"/>
      <c r="ET7" s="1206"/>
      <c r="EU7" s="1206"/>
      <c r="EV7" s="1206"/>
      <c r="EW7" s="1206"/>
      <c r="EX7" s="1206"/>
      <c r="EY7" s="1206"/>
      <c r="EZ7" s="1206"/>
      <c r="FA7" s="1206"/>
      <c r="FB7" s="1206"/>
      <c r="FC7" s="1206"/>
      <c r="FD7" s="1206"/>
      <c r="FE7" s="1206"/>
      <c r="FF7" s="1206"/>
      <c r="FG7" s="1206"/>
      <c r="FH7" s="1206"/>
      <c r="FI7" s="1206"/>
      <c r="FJ7" s="1206"/>
    </row>
    <row r="8" spans="1:166" s="1207" customFormat="1" ht="25.5" customHeight="1">
      <c r="A8" s="1198" t="str">
        <f>'6.REKONSTR VODOVODA stroj'!A1</f>
        <v>6. VODOVOD - REKONSTRUKCIJA (STROJARSKI RADOVI)</v>
      </c>
      <c r="B8" s="1201">
        <f>'6.REKONSTR VODOVODA stroj'!AC4</f>
        <v>0</v>
      </c>
      <c r="C8" s="1202"/>
      <c r="D8" s="1203"/>
      <c r="E8" s="1204"/>
      <c r="F8" s="1204"/>
      <c r="G8" s="1202"/>
      <c r="H8" s="1202"/>
      <c r="I8" s="1202"/>
      <c r="J8" s="1202"/>
      <c r="K8" s="1202"/>
      <c r="L8" s="1202"/>
      <c r="M8" s="1202"/>
      <c r="N8" s="1202"/>
      <c r="O8" s="1202"/>
      <c r="P8" s="1202"/>
      <c r="Q8" s="1202"/>
      <c r="R8" s="1202"/>
      <c r="S8" s="1202"/>
      <c r="T8" s="1202"/>
      <c r="U8" s="1202"/>
      <c r="V8" s="1202"/>
      <c r="W8" s="1202"/>
      <c r="X8" s="1202"/>
      <c r="Y8" s="1202"/>
      <c r="Z8" s="1202"/>
      <c r="AA8" s="1202"/>
      <c r="AB8" s="1202"/>
      <c r="AC8" s="1202"/>
      <c r="AD8" s="1202"/>
      <c r="AE8" s="1202"/>
      <c r="AF8" s="1202"/>
      <c r="AG8" s="1202"/>
      <c r="AH8" s="1202"/>
      <c r="AI8" s="1202"/>
      <c r="AJ8" s="1202"/>
      <c r="AK8" s="1202"/>
      <c r="AL8" s="1202"/>
      <c r="AM8" s="1202"/>
      <c r="AN8" s="1202"/>
      <c r="AO8" s="1202"/>
      <c r="AP8" s="1202"/>
      <c r="AQ8" s="1202"/>
      <c r="AR8" s="1202"/>
      <c r="AS8" s="1202"/>
      <c r="AT8" s="1202"/>
      <c r="AU8" s="1202"/>
      <c r="AV8" s="1202"/>
      <c r="AW8" s="1202"/>
      <c r="AX8" s="1202"/>
      <c r="AY8" s="1202"/>
      <c r="AZ8" s="1202"/>
      <c r="BA8" s="1202"/>
      <c r="BB8" s="1202"/>
      <c r="BC8" s="1202"/>
      <c r="BD8" s="1202"/>
      <c r="BE8" s="1202"/>
      <c r="BF8" s="1202"/>
      <c r="BG8" s="1202"/>
      <c r="BH8" s="1202"/>
      <c r="BI8" s="1202"/>
      <c r="BJ8" s="1202"/>
      <c r="BK8" s="1202"/>
      <c r="BL8" s="1202"/>
      <c r="BM8" s="1202"/>
      <c r="BN8" s="1202"/>
      <c r="BO8" s="1202"/>
      <c r="BP8" s="1202"/>
      <c r="BQ8" s="1202"/>
      <c r="BR8" s="1202"/>
      <c r="BS8" s="1205"/>
      <c r="BT8" s="1206"/>
      <c r="BU8" s="1206"/>
      <c r="BV8" s="1206"/>
      <c r="BW8" s="1206"/>
      <c r="BX8" s="1206"/>
      <c r="BY8" s="1206"/>
      <c r="BZ8" s="1206"/>
      <c r="CA8" s="1206"/>
      <c r="CB8" s="1206"/>
      <c r="CC8" s="1206"/>
      <c r="CD8" s="1206"/>
      <c r="CE8" s="1206"/>
      <c r="CF8" s="1206"/>
      <c r="CG8" s="1206"/>
      <c r="CH8" s="1206"/>
      <c r="CI8" s="1206"/>
      <c r="CJ8" s="1206"/>
      <c r="CK8" s="1206"/>
      <c r="CL8" s="1206"/>
      <c r="CM8" s="1206"/>
      <c r="CN8" s="1206"/>
      <c r="CO8" s="1206"/>
      <c r="CP8" s="1206"/>
      <c r="CQ8" s="1206"/>
      <c r="CR8" s="1206"/>
      <c r="CS8" s="1206"/>
      <c r="CT8" s="1206"/>
      <c r="CU8" s="1206"/>
      <c r="CV8" s="1206"/>
      <c r="CW8" s="1206"/>
      <c r="CX8" s="1206"/>
      <c r="CY8" s="1206"/>
      <c r="CZ8" s="1206"/>
      <c r="DA8" s="1206"/>
      <c r="DB8" s="1206"/>
      <c r="DC8" s="1206"/>
      <c r="DD8" s="1206"/>
      <c r="DE8" s="1206"/>
      <c r="DF8" s="1206"/>
      <c r="DG8" s="1206"/>
      <c r="DH8" s="1206"/>
      <c r="DI8" s="1206"/>
      <c r="DJ8" s="1206"/>
      <c r="DK8" s="1206"/>
      <c r="DL8" s="1206"/>
      <c r="DM8" s="1206"/>
      <c r="DN8" s="1206"/>
      <c r="DO8" s="1206"/>
      <c r="DP8" s="1206"/>
      <c r="DQ8" s="1206"/>
      <c r="DR8" s="1206"/>
      <c r="DS8" s="1206"/>
      <c r="DT8" s="1206"/>
      <c r="DU8" s="1206"/>
      <c r="DV8" s="1206"/>
      <c r="DW8" s="1206"/>
      <c r="DX8" s="1206"/>
      <c r="DY8" s="1206"/>
      <c r="DZ8" s="1206"/>
      <c r="EA8" s="1206"/>
      <c r="EB8" s="1206"/>
      <c r="EC8" s="1206"/>
      <c r="ED8" s="1206"/>
      <c r="EE8" s="1206"/>
      <c r="EF8" s="1206"/>
      <c r="EG8" s="1206"/>
      <c r="EH8" s="1206"/>
      <c r="EI8" s="1206"/>
      <c r="EJ8" s="1206"/>
      <c r="EK8" s="1206"/>
      <c r="EL8" s="1206"/>
      <c r="EM8" s="1206"/>
      <c r="EN8" s="1206"/>
      <c r="EO8" s="1206"/>
      <c r="EP8" s="1206"/>
      <c r="EQ8" s="1206"/>
      <c r="ER8" s="1206"/>
      <c r="ES8" s="1206"/>
      <c r="ET8" s="1206"/>
      <c r="EU8" s="1206"/>
      <c r="EV8" s="1206"/>
      <c r="EW8" s="1206"/>
      <c r="EX8" s="1206"/>
      <c r="EY8" s="1206"/>
      <c r="EZ8" s="1206"/>
      <c r="FA8" s="1206"/>
      <c r="FB8" s="1206"/>
      <c r="FC8" s="1206"/>
      <c r="FD8" s="1206"/>
      <c r="FE8" s="1206"/>
      <c r="FF8" s="1206"/>
      <c r="FG8" s="1206"/>
      <c r="FH8" s="1206"/>
      <c r="FI8" s="1206"/>
      <c r="FJ8" s="1206"/>
    </row>
    <row r="9" spans="1:166" s="1207" customFormat="1" ht="25.5" customHeight="1">
      <c r="A9" s="1198" t="str">
        <f>'7. CS- građ'!A1</f>
        <v>7. CRPNE STANICE - građevinski radovi</v>
      </c>
      <c r="B9" s="1201">
        <f>'7. CS- građ'!X3</f>
        <v>0</v>
      </c>
      <c r="C9" s="1202"/>
      <c r="D9" s="1203"/>
      <c r="E9" s="1204"/>
      <c r="F9" s="1204"/>
      <c r="G9" s="1202"/>
      <c r="H9" s="1202"/>
      <c r="I9" s="1202"/>
      <c r="J9" s="1202"/>
      <c r="K9" s="1202"/>
      <c r="L9" s="1202"/>
      <c r="M9" s="1202"/>
      <c r="N9" s="1202"/>
      <c r="O9" s="1202"/>
      <c r="P9" s="1202"/>
      <c r="Q9" s="1202"/>
      <c r="R9" s="1202"/>
      <c r="S9" s="1202"/>
      <c r="T9" s="1202"/>
      <c r="U9" s="1202"/>
      <c r="V9" s="1202"/>
      <c r="W9" s="1202"/>
      <c r="X9" s="1202"/>
      <c r="Y9" s="1202"/>
      <c r="Z9" s="1202"/>
      <c r="AA9" s="1202"/>
      <c r="AB9" s="1202"/>
      <c r="AC9" s="1202"/>
      <c r="AD9" s="1202"/>
      <c r="AE9" s="1202"/>
      <c r="AF9" s="1202"/>
      <c r="AG9" s="1202"/>
      <c r="AH9" s="1202"/>
      <c r="AI9" s="1202"/>
      <c r="AJ9" s="1202"/>
      <c r="AK9" s="1202"/>
      <c r="AL9" s="1202"/>
      <c r="AM9" s="1202"/>
      <c r="AN9" s="1202"/>
      <c r="AO9" s="1202"/>
      <c r="AP9" s="1202"/>
      <c r="AQ9" s="1202"/>
      <c r="AR9" s="1202"/>
      <c r="AS9" s="1202"/>
      <c r="AT9" s="1202"/>
      <c r="AU9" s="1202"/>
      <c r="AV9" s="1202"/>
      <c r="AW9" s="1202"/>
      <c r="AX9" s="1202"/>
      <c r="AY9" s="1202"/>
      <c r="AZ9" s="1202"/>
      <c r="BA9" s="1202"/>
      <c r="BB9" s="1202"/>
      <c r="BC9" s="1202"/>
      <c r="BD9" s="1202"/>
      <c r="BE9" s="1202"/>
      <c r="BF9" s="1202"/>
      <c r="BG9" s="1202"/>
      <c r="BH9" s="1202"/>
      <c r="BI9" s="1202"/>
      <c r="BJ9" s="1202"/>
      <c r="BK9" s="1202"/>
      <c r="BL9" s="1202"/>
      <c r="BM9" s="1202"/>
      <c r="BN9" s="1202"/>
      <c r="BO9" s="1202"/>
      <c r="BP9" s="1202"/>
      <c r="BQ9" s="1202"/>
      <c r="BR9" s="1202"/>
      <c r="BS9" s="1205"/>
      <c r="BT9" s="1206"/>
      <c r="BU9" s="1206"/>
      <c r="BV9" s="1206"/>
      <c r="BW9" s="1206"/>
      <c r="BX9" s="1206"/>
      <c r="BY9" s="1206"/>
      <c r="BZ9" s="1206"/>
      <c r="CA9" s="1206"/>
      <c r="CB9" s="1206"/>
      <c r="CC9" s="1206"/>
      <c r="CD9" s="1206"/>
      <c r="CE9" s="1206"/>
      <c r="CF9" s="1206"/>
      <c r="CG9" s="1206"/>
      <c r="CH9" s="1206"/>
      <c r="CI9" s="1206"/>
      <c r="CJ9" s="1206"/>
      <c r="CK9" s="1206"/>
      <c r="CL9" s="1206"/>
      <c r="CM9" s="1206"/>
      <c r="CN9" s="1206"/>
      <c r="CO9" s="1206"/>
      <c r="CP9" s="1206"/>
      <c r="CQ9" s="1206"/>
      <c r="CR9" s="1206"/>
      <c r="CS9" s="1206"/>
      <c r="CT9" s="1206"/>
      <c r="CU9" s="1206"/>
      <c r="CV9" s="1206"/>
      <c r="CW9" s="1206"/>
      <c r="CX9" s="1206"/>
      <c r="CY9" s="1206"/>
      <c r="CZ9" s="1206"/>
      <c r="DA9" s="1206"/>
      <c r="DB9" s="1206"/>
      <c r="DC9" s="1206"/>
      <c r="DD9" s="1206"/>
      <c r="DE9" s="1206"/>
      <c r="DF9" s="1206"/>
      <c r="DG9" s="1206"/>
      <c r="DH9" s="1206"/>
      <c r="DI9" s="1206"/>
      <c r="DJ9" s="1206"/>
      <c r="DK9" s="1206"/>
      <c r="DL9" s="1206"/>
      <c r="DM9" s="1206"/>
      <c r="DN9" s="1206"/>
      <c r="DO9" s="1206"/>
      <c r="DP9" s="1206"/>
      <c r="DQ9" s="1206"/>
      <c r="DR9" s="1206"/>
      <c r="DS9" s="1206"/>
      <c r="DT9" s="1206"/>
      <c r="DU9" s="1206"/>
      <c r="DV9" s="1206"/>
      <c r="DW9" s="1206"/>
      <c r="DX9" s="1206"/>
      <c r="DY9" s="1206"/>
      <c r="DZ9" s="1206"/>
      <c r="EA9" s="1206"/>
      <c r="EB9" s="1206"/>
      <c r="EC9" s="1206"/>
      <c r="ED9" s="1206"/>
      <c r="EE9" s="1206"/>
      <c r="EF9" s="1206"/>
      <c r="EG9" s="1206"/>
      <c r="EH9" s="1206"/>
      <c r="EI9" s="1206"/>
      <c r="EJ9" s="1206"/>
      <c r="EK9" s="1206"/>
      <c r="EL9" s="1206"/>
      <c r="EM9" s="1206"/>
      <c r="EN9" s="1206"/>
      <c r="EO9" s="1206"/>
      <c r="EP9" s="1206"/>
      <c r="EQ9" s="1206"/>
      <c r="ER9" s="1206"/>
      <c r="ES9" s="1206"/>
      <c r="ET9" s="1206"/>
      <c r="EU9" s="1206"/>
      <c r="EV9" s="1206"/>
      <c r="EW9" s="1206"/>
      <c r="EX9" s="1206"/>
      <c r="EY9" s="1206"/>
      <c r="EZ9" s="1206"/>
      <c r="FA9" s="1206"/>
      <c r="FB9" s="1206"/>
      <c r="FC9" s="1206"/>
      <c r="FD9" s="1206"/>
      <c r="FE9" s="1206"/>
      <c r="FF9" s="1206"/>
      <c r="FG9" s="1206"/>
      <c r="FH9" s="1206"/>
      <c r="FI9" s="1206"/>
      <c r="FJ9" s="1206"/>
    </row>
    <row r="10" spans="1:166" s="1207" customFormat="1" ht="25.5" customHeight="1">
      <c r="A10" s="1198" t="str">
        <f>'8. CS elektro'!A1</f>
        <v>8. CRPNE STANICE - elektro radovi</v>
      </c>
      <c r="B10" s="1201">
        <f>'8. CS elektro'!W3</f>
        <v>0</v>
      </c>
      <c r="C10" s="1202"/>
      <c r="D10" s="1203"/>
      <c r="E10" s="1204"/>
      <c r="F10" s="1204"/>
      <c r="G10" s="1202"/>
      <c r="H10" s="1202"/>
      <c r="I10" s="1202"/>
      <c r="J10" s="1202"/>
      <c r="K10" s="1202"/>
      <c r="L10" s="1202"/>
      <c r="M10" s="1202"/>
      <c r="N10" s="1202"/>
      <c r="O10" s="1202"/>
      <c r="P10" s="1202"/>
      <c r="Q10" s="1202"/>
      <c r="R10" s="1202"/>
      <c r="S10" s="1202"/>
      <c r="T10" s="1202"/>
      <c r="U10" s="1202"/>
      <c r="V10" s="1202"/>
      <c r="W10" s="1202"/>
      <c r="X10" s="1202"/>
      <c r="Y10" s="1202"/>
      <c r="Z10" s="1202"/>
      <c r="AA10" s="1202"/>
      <c r="AB10" s="1202"/>
      <c r="AC10" s="1202"/>
      <c r="AD10" s="1202"/>
      <c r="AE10" s="1202"/>
      <c r="AF10" s="1202"/>
      <c r="AG10" s="1202"/>
      <c r="AH10" s="1202"/>
      <c r="AI10" s="1202"/>
      <c r="AJ10" s="1202"/>
      <c r="AK10" s="1202"/>
      <c r="AL10" s="1202"/>
      <c r="AM10" s="1202"/>
      <c r="AN10" s="1202"/>
      <c r="AO10" s="1202"/>
      <c r="AP10" s="1202"/>
      <c r="AQ10" s="1202"/>
      <c r="AR10" s="1202"/>
      <c r="AS10" s="1202"/>
      <c r="AT10" s="1202"/>
      <c r="AU10" s="1202"/>
      <c r="AV10" s="1202"/>
      <c r="AW10" s="1202"/>
      <c r="AX10" s="1202"/>
      <c r="AY10" s="1202"/>
      <c r="AZ10" s="1202"/>
      <c r="BA10" s="1202"/>
      <c r="BB10" s="1202"/>
      <c r="BC10" s="1202"/>
      <c r="BD10" s="1202"/>
      <c r="BE10" s="1202"/>
      <c r="BF10" s="1202"/>
      <c r="BG10" s="1202"/>
      <c r="BH10" s="1202"/>
      <c r="BI10" s="1202"/>
      <c r="BJ10" s="1202"/>
      <c r="BK10" s="1202"/>
      <c r="BL10" s="1202"/>
      <c r="BM10" s="1202"/>
      <c r="BN10" s="1202"/>
      <c r="BO10" s="1202"/>
      <c r="BP10" s="1202"/>
      <c r="BQ10" s="1202"/>
      <c r="BR10" s="1202"/>
      <c r="BS10" s="1205"/>
      <c r="BT10" s="1206"/>
      <c r="BU10" s="1206"/>
      <c r="BV10" s="1206"/>
      <c r="BW10" s="1206"/>
      <c r="BX10" s="1206"/>
      <c r="BY10" s="1206"/>
      <c r="BZ10" s="1206"/>
      <c r="CA10" s="1206"/>
      <c r="CB10" s="1206"/>
      <c r="CC10" s="1206"/>
      <c r="CD10" s="1206"/>
      <c r="CE10" s="1206"/>
      <c r="CF10" s="1206"/>
      <c r="CG10" s="1206"/>
      <c r="CH10" s="1206"/>
      <c r="CI10" s="1206"/>
      <c r="CJ10" s="1206"/>
      <c r="CK10" s="1206"/>
      <c r="CL10" s="1206"/>
      <c r="CM10" s="1206"/>
      <c r="CN10" s="1206"/>
      <c r="CO10" s="1206"/>
      <c r="CP10" s="1206"/>
      <c r="CQ10" s="1206"/>
      <c r="CR10" s="1206"/>
      <c r="CS10" s="1206"/>
      <c r="CT10" s="1206"/>
      <c r="CU10" s="1206"/>
      <c r="CV10" s="1206"/>
      <c r="CW10" s="1206"/>
      <c r="CX10" s="1206"/>
      <c r="CY10" s="1206"/>
      <c r="CZ10" s="1206"/>
      <c r="DA10" s="1206"/>
      <c r="DB10" s="1206"/>
      <c r="DC10" s="1206"/>
      <c r="DD10" s="1206"/>
      <c r="DE10" s="1206"/>
      <c r="DF10" s="1206"/>
      <c r="DG10" s="1206"/>
      <c r="DH10" s="1206"/>
      <c r="DI10" s="1206"/>
      <c r="DJ10" s="1206"/>
      <c r="DK10" s="1206"/>
      <c r="DL10" s="1206"/>
      <c r="DM10" s="1206"/>
      <c r="DN10" s="1206"/>
      <c r="DO10" s="1206"/>
      <c r="DP10" s="1206"/>
      <c r="DQ10" s="1206"/>
      <c r="DR10" s="1206"/>
      <c r="DS10" s="1206"/>
      <c r="DT10" s="1206"/>
      <c r="DU10" s="1206"/>
      <c r="DV10" s="1206"/>
      <c r="DW10" s="1206"/>
      <c r="DX10" s="1206"/>
      <c r="DY10" s="1206"/>
      <c r="DZ10" s="1206"/>
      <c r="EA10" s="1206"/>
      <c r="EB10" s="1206"/>
      <c r="EC10" s="1206"/>
      <c r="ED10" s="1206"/>
      <c r="EE10" s="1206"/>
      <c r="EF10" s="1206"/>
      <c r="EG10" s="1206"/>
      <c r="EH10" s="1206"/>
      <c r="EI10" s="1206"/>
      <c r="EJ10" s="1206"/>
      <c r="EK10" s="1206"/>
      <c r="EL10" s="1206"/>
      <c r="EM10" s="1206"/>
      <c r="EN10" s="1206"/>
      <c r="EO10" s="1206"/>
      <c r="EP10" s="1206"/>
      <c r="EQ10" s="1206"/>
      <c r="ER10" s="1206"/>
      <c r="ES10" s="1206"/>
      <c r="ET10" s="1206"/>
      <c r="EU10" s="1206"/>
      <c r="EV10" s="1206"/>
      <c r="EW10" s="1206"/>
      <c r="EX10" s="1206"/>
      <c r="EY10" s="1206"/>
      <c r="EZ10" s="1206"/>
      <c r="FA10" s="1206"/>
      <c r="FB10" s="1206"/>
      <c r="FC10" s="1206"/>
      <c r="FD10" s="1206"/>
      <c r="FE10" s="1206"/>
      <c r="FF10" s="1206"/>
      <c r="FG10" s="1206"/>
      <c r="FH10" s="1206"/>
      <c r="FI10" s="1206"/>
      <c r="FJ10" s="1206"/>
    </row>
    <row r="11" spans="1:166" s="1207" customFormat="1" ht="25.5" customHeight="1">
      <c r="A11" s="1198" t="str">
        <f>'9. CS stroj'!A1</f>
        <v>9. CRPNE STANICE -  strojarski radovi</v>
      </c>
      <c r="B11" s="1201">
        <f>'9. CS stroj'!X3</f>
        <v>0</v>
      </c>
      <c r="C11" s="1202"/>
      <c r="D11" s="1203"/>
      <c r="E11" s="1204"/>
      <c r="F11" s="1204"/>
      <c r="G11" s="1202"/>
      <c r="H11" s="1202"/>
      <c r="I11" s="1202"/>
      <c r="J11" s="1202"/>
      <c r="K11" s="1202"/>
      <c r="L11" s="1202"/>
      <c r="M11" s="1202"/>
      <c r="N11" s="1202"/>
      <c r="O11" s="1202"/>
      <c r="P11" s="1202"/>
      <c r="Q11" s="1202"/>
      <c r="R11" s="1202"/>
      <c r="S11" s="1202"/>
      <c r="T11" s="1202"/>
      <c r="U11" s="1202"/>
      <c r="V11" s="1202"/>
      <c r="W11" s="1202"/>
      <c r="X11" s="1202"/>
      <c r="Y11" s="1202"/>
      <c r="Z11" s="1202"/>
      <c r="AA11" s="1202"/>
      <c r="AB11" s="1202"/>
      <c r="AC11" s="1202"/>
      <c r="AD11" s="1202"/>
      <c r="AE11" s="1202"/>
      <c r="AF11" s="1202"/>
      <c r="AG11" s="1202"/>
      <c r="AH11" s="1202"/>
      <c r="AI11" s="1202"/>
      <c r="AJ11" s="1202"/>
      <c r="AK11" s="1202"/>
      <c r="AL11" s="1202"/>
      <c r="AM11" s="1202"/>
      <c r="AN11" s="1202"/>
      <c r="AO11" s="1202"/>
      <c r="AP11" s="1202"/>
      <c r="AQ11" s="1202"/>
      <c r="AR11" s="1202"/>
      <c r="AS11" s="1202"/>
      <c r="AT11" s="1202"/>
      <c r="AU11" s="1202"/>
      <c r="AV11" s="1202"/>
      <c r="AW11" s="1202"/>
      <c r="AX11" s="1202"/>
      <c r="AY11" s="1202"/>
      <c r="AZ11" s="1202"/>
      <c r="BA11" s="1202"/>
      <c r="BB11" s="1202"/>
      <c r="BC11" s="1202"/>
      <c r="BD11" s="1202"/>
      <c r="BE11" s="1202"/>
      <c r="BF11" s="1202"/>
      <c r="BG11" s="1202"/>
      <c r="BH11" s="1202"/>
      <c r="BI11" s="1202"/>
      <c r="BJ11" s="1202"/>
      <c r="BK11" s="1202"/>
      <c r="BL11" s="1202"/>
      <c r="BM11" s="1202"/>
      <c r="BN11" s="1202"/>
      <c r="BO11" s="1202"/>
      <c r="BP11" s="1202"/>
      <c r="BQ11" s="1202"/>
      <c r="BR11" s="1202"/>
      <c r="BS11" s="1205"/>
      <c r="BT11" s="1206"/>
      <c r="BU11" s="1206"/>
      <c r="BV11" s="1206"/>
      <c r="BW11" s="1206"/>
      <c r="BX11" s="1206"/>
      <c r="BY11" s="1206"/>
      <c r="BZ11" s="1206"/>
      <c r="CA11" s="1206"/>
      <c r="CB11" s="1206"/>
      <c r="CC11" s="1206"/>
      <c r="CD11" s="1206"/>
      <c r="CE11" s="1206"/>
      <c r="CF11" s="1206"/>
      <c r="CG11" s="1206"/>
      <c r="CH11" s="1206"/>
      <c r="CI11" s="1206"/>
      <c r="CJ11" s="1206"/>
      <c r="CK11" s="1206"/>
      <c r="CL11" s="1206"/>
      <c r="CM11" s="1206"/>
      <c r="CN11" s="1206"/>
      <c r="CO11" s="1206"/>
      <c r="CP11" s="1206"/>
      <c r="CQ11" s="1206"/>
      <c r="CR11" s="1206"/>
      <c r="CS11" s="1206"/>
      <c r="CT11" s="1206"/>
      <c r="CU11" s="1206"/>
      <c r="CV11" s="1206"/>
      <c r="CW11" s="1206"/>
      <c r="CX11" s="1206"/>
      <c r="CY11" s="1206"/>
      <c r="CZ11" s="1206"/>
      <c r="DA11" s="1206"/>
      <c r="DB11" s="1206"/>
      <c r="DC11" s="1206"/>
      <c r="DD11" s="1206"/>
      <c r="DE11" s="1206"/>
      <c r="DF11" s="1206"/>
      <c r="DG11" s="1206"/>
      <c r="DH11" s="1206"/>
      <c r="DI11" s="1206"/>
      <c r="DJ11" s="1206"/>
      <c r="DK11" s="1206"/>
      <c r="DL11" s="1206"/>
      <c r="DM11" s="1206"/>
      <c r="DN11" s="1206"/>
      <c r="DO11" s="1206"/>
      <c r="DP11" s="1206"/>
      <c r="DQ11" s="1206"/>
      <c r="DR11" s="1206"/>
      <c r="DS11" s="1206"/>
      <c r="DT11" s="1206"/>
      <c r="DU11" s="1206"/>
      <c r="DV11" s="1206"/>
      <c r="DW11" s="1206"/>
      <c r="DX11" s="1206"/>
      <c r="DY11" s="1206"/>
      <c r="DZ11" s="1206"/>
      <c r="EA11" s="1206"/>
      <c r="EB11" s="1206"/>
      <c r="EC11" s="1206"/>
      <c r="ED11" s="1206"/>
      <c r="EE11" s="1206"/>
      <c r="EF11" s="1206"/>
      <c r="EG11" s="1206"/>
      <c r="EH11" s="1206"/>
      <c r="EI11" s="1206"/>
      <c r="EJ11" s="1206"/>
      <c r="EK11" s="1206"/>
      <c r="EL11" s="1206"/>
      <c r="EM11" s="1206"/>
      <c r="EN11" s="1206"/>
      <c r="EO11" s="1206"/>
      <c r="EP11" s="1206"/>
      <c r="EQ11" s="1206"/>
      <c r="ER11" s="1206"/>
      <c r="ES11" s="1206"/>
      <c r="ET11" s="1206"/>
      <c r="EU11" s="1206"/>
      <c r="EV11" s="1206"/>
      <c r="EW11" s="1206"/>
      <c r="EX11" s="1206"/>
      <c r="EY11" s="1206"/>
      <c r="EZ11" s="1206"/>
      <c r="FA11" s="1206"/>
      <c r="FB11" s="1206"/>
      <c r="FC11" s="1206"/>
      <c r="FD11" s="1206"/>
      <c r="FE11" s="1206"/>
      <c r="FF11" s="1206"/>
      <c r="FG11" s="1206"/>
      <c r="FH11" s="1206"/>
      <c r="FI11" s="1206"/>
      <c r="FJ11" s="1206"/>
    </row>
    <row r="12" spans="1:166" s="1214" customFormat="1" ht="45.75" customHeight="1">
      <c r="A12" s="1215" t="s">
        <v>1322</v>
      </c>
      <c r="B12" s="1216">
        <f>SUM(B3:B11)</f>
        <v>0</v>
      </c>
      <c r="C12" s="1208"/>
      <c r="D12" s="1209"/>
      <c r="E12" s="1210"/>
      <c r="F12" s="1210"/>
      <c r="G12" s="1211"/>
      <c r="H12" s="1211"/>
      <c r="I12" s="1211"/>
      <c r="J12" s="1211"/>
      <c r="K12" s="1211"/>
      <c r="L12" s="1211"/>
      <c r="M12" s="1211"/>
      <c r="N12" s="1211"/>
      <c r="O12" s="1211"/>
      <c r="P12" s="1211"/>
      <c r="Q12" s="1211"/>
      <c r="R12" s="1211"/>
      <c r="S12" s="1211"/>
      <c r="T12" s="1211"/>
      <c r="U12" s="1211"/>
      <c r="V12" s="1211"/>
      <c r="W12" s="1211"/>
      <c r="X12" s="1211"/>
      <c r="Y12" s="1211"/>
      <c r="Z12" s="1211"/>
      <c r="AA12" s="1211"/>
      <c r="AB12" s="1211"/>
      <c r="AC12" s="1211"/>
      <c r="AD12" s="1211"/>
      <c r="AE12" s="1211"/>
      <c r="AF12" s="1211"/>
      <c r="AG12" s="1211"/>
      <c r="AH12" s="1211"/>
      <c r="AI12" s="1211"/>
      <c r="AJ12" s="1211"/>
      <c r="AK12" s="1211"/>
      <c r="AL12" s="1211"/>
      <c r="AM12" s="1211"/>
      <c r="AN12" s="1211"/>
      <c r="AO12" s="1211"/>
      <c r="AP12" s="1211"/>
      <c r="AQ12" s="1211"/>
      <c r="AR12" s="1211"/>
      <c r="AS12" s="1211"/>
      <c r="AT12" s="1211"/>
      <c r="AU12" s="1211"/>
      <c r="AV12" s="1211"/>
      <c r="AW12" s="1211"/>
      <c r="AX12" s="1211"/>
      <c r="AY12" s="1211"/>
      <c r="AZ12" s="1211"/>
      <c r="BA12" s="1211"/>
      <c r="BB12" s="1211"/>
      <c r="BC12" s="1211"/>
      <c r="BD12" s="1211"/>
      <c r="BE12" s="1211"/>
      <c r="BF12" s="1211"/>
      <c r="BG12" s="1211"/>
      <c r="BH12" s="1211"/>
      <c r="BI12" s="1211"/>
      <c r="BJ12" s="1211"/>
      <c r="BK12" s="1211"/>
      <c r="BL12" s="1211"/>
      <c r="BM12" s="1211"/>
      <c r="BN12" s="1211"/>
      <c r="BO12" s="1211"/>
      <c r="BP12" s="1211"/>
      <c r="BQ12" s="1211"/>
      <c r="BR12" s="1211"/>
      <c r="BS12" s="1212"/>
      <c r="BT12" s="1213"/>
      <c r="BU12" s="1213"/>
      <c r="BV12" s="1213"/>
      <c r="BW12" s="1213"/>
      <c r="BX12" s="1213"/>
      <c r="BY12" s="1213"/>
      <c r="BZ12" s="1213"/>
      <c r="CA12" s="1213"/>
      <c r="CB12" s="1213"/>
      <c r="CC12" s="1213"/>
      <c r="CD12" s="1213"/>
      <c r="CE12" s="1213"/>
      <c r="CF12" s="1213"/>
      <c r="CG12" s="1213"/>
      <c r="CH12" s="1213"/>
      <c r="CI12" s="1213"/>
      <c r="CJ12" s="1213"/>
      <c r="CK12" s="1213"/>
      <c r="CL12" s="1213"/>
      <c r="CM12" s="1213"/>
      <c r="CN12" s="1213"/>
      <c r="CO12" s="1213"/>
      <c r="CP12" s="1213"/>
      <c r="CQ12" s="1213"/>
      <c r="CR12" s="1213"/>
      <c r="CS12" s="1213"/>
      <c r="CT12" s="1213"/>
      <c r="CU12" s="1213"/>
      <c r="CV12" s="1213"/>
      <c r="CW12" s="1213"/>
      <c r="CX12" s="1213"/>
      <c r="CY12" s="1213"/>
      <c r="CZ12" s="1213"/>
      <c r="DA12" s="1213"/>
      <c r="DB12" s="1213"/>
      <c r="DC12" s="1213"/>
      <c r="DD12" s="1213"/>
      <c r="DE12" s="1213"/>
      <c r="DF12" s="1213"/>
      <c r="DG12" s="1213"/>
      <c r="DH12" s="1213"/>
      <c r="DI12" s="1213"/>
      <c r="DJ12" s="1213"/>
      <c r="DK12" s="1213"/>
      <c r="DL12" s="1213"/>
      <c r="DM12" s="1213"/>
      <c r="DN12" s="1213"/>
      <c r="DO12" s="1213"/>
      <c r="DP12" s="1213"/>
      <c r="DQ12" s="1213"/>
      <c r="DR12" s="1213"/>
      <c r="DS12" s="1213"/>
      <c r="DT12" s="1213"/>
      <c r="DU12" s="1213"/>
      <c r="DV12" s="1213"/>
      <c r="DW12" s="1213"/>
      <c r="DX12" s="1213"/>
      <c r="DY12" s="1213"/>
      <c r="DZ12" s="1213"/>
      <c r="EA12" s="1213"/>
      <c r="EB12" s="1213"/>
      <c r="EC12" s="1213"/>
      <c r="ED12" s="1213"/>
      <c r="EE12" s="1213"/>
      <c r="EF12" s="1213"/>
      <c r="EG12" s="1213"/>
      <c r="EH12" s="1213"/>
      <c r="EI12" s="1213"/>
      <c r="EJ12" s="1213"/>
      <c r="EK12" s="1213"/>
      <c r="EL12" s="1213"/>
      <c r="EM12" s="1213"/>
      <c r="EN12" s="1213"/>
      <c r="EO12" s="1213"/>
      <c r="EP12" s="1213"/>
      <c r="EQ12" s="1213"/>
      <c r="ER12" s="1213"/>
      <c r="ES12" s="1213"/>
      <c r="ET12" s="1213"/>
      <c r="EU12" s="1213"/>
      <c r="EV12" s="1213"/>
      <c r="EW12" s="1213"/>
      <c r="EX12" s="1213"/>
      <c r="EY12" s="1213"/>
      <c r="EZ12" s="1213"/>
      <c r="FA12" s="1213"/>
      <c r="FB12" s="1213"/>
      <c r="FC12" s="1213"/>
      <c r="FD12" s="1213"/>
      <c r="FE12" s="1213"/>
      <c r="FF12" s="1213"/>
      <c r="FG12" s="1213"/>
      <c r="FH12" s="1213"/>
      <c r="FI12" s="1213"/>
      <c r="FJ12" s="1213"/>
    </row>
    <row r="13" spans="1:166" s="1214" customFormat="1" ht="33" customHeight="1">
      <c r="A13" s="1215" t="s">
        <v>1323</v>
      </c>
      <c r="B13" s="1216">
        <f>B12*0.25</f>
        <v>0</v>
      </c>
      <c r="C13" s="1208"/>
      <c r="D13" s="1209"/>
      <c r="E13" s="1210"/>
      <c r="F13" s="1210"/>
      <c r="G13" s="1211"/>
      <c r="H13" s="1211"/>
      <c r="I13" s="1211"/>
      <c r="J13" s="1211"/>
      <c r="K13" s="1211"/>
      <c r="L13" s="1211"/>
      <c r="M13" s="1211"/>
      <c r="N13" s="1211"/>
      <c r="O13" s="1211"/>
      <c r="P13" s="1211"/>
      <c r="Q13" s="1211"/>
      <c r="R13" s="1211"/>
      <c r="S13" s="1211"/>
      <c r="T13" s="1211"/>
      <c r="U13" s="1211"/>
      <c r="V13" s="1211"/>
      <c r="W13" s="1211"/>
      <c r="X13" s="1211"/>
      <c r="Y13" s="1211"/>
      <c r="Z13" s="1211"/>
      <c r="AA13" s="1211"/>
      <c r="AB13" s="1211"/>
      <c r="AC13" s="1211"/>
      <c r="AD13" s="1211"/>
      <c r="AE13" s="1211"/>
      <c r="AF13" s="1211"/>
      <c r="AG13" s="1211"/>
      <c r="AH13" s="1211"/>
      <c r="AI13" s="1211"/>
      <c r="AJ13" s="1211"/>
      <c r="AK13" s="1211"/>
      <c r="AL13" s="1211"/>
      <c r="AM13" s="1211"/>
      <c r="AN13" s="1211"/>
      <c r="AO13" s="1211"/>
      <c r="AP13" s="1211"/>
      <c r="AQ13" s="1211"/>
      <c r="AR13" s="1211"/>
      <c r="AS13" s="1211"/>
      <c r="AT13" s="1211"/>
      <c r="AU13" s="1211"/>
      <c r="AV13" s="1211"/>
      <c r="AW13" s="1211"/>
      <c r="AX13" s="1211"/>
      <c r="AY13" s="1211"/>
      <c r="AZ13" s="1211"/>
      <c r="BA13" s="1211"/>
      <c r="BB13" s="1211"/>
      <c r="BC13" s="1211"/>
      <c r="BD13" s="1211"/>
      <c r="BE13" s="1211"/>
      <c r="BF13" s="1211"/>
      <c r="BG13" s="1211"/>
      <c r="BH13" s="1211"/>
      <c r="BI13" s="1211"/>
      <c r="BJ13" s="1211"/>
      <c r="BK13" s="1211"/>
      <c r="BL13" s="1211"/>
      <c r="BM13" s="1211"/>
      <c r="BN13" s="1211"/>
      <c r="BO13" s="1211"/>
      <c r="BP13" s="1211"/>
      <c r="BQ13" s="1211"/>
      <c r="BR13" s="1211"/>
      <c r="BS13" s="1212"/>
      <c r="BT13" s="1213"/>
      <c r="BU13" s="1213"/>
      <c r="BV13" s="1213"/>
      <c r="BW13" s="1213"/>
      <c r="BX13" s="1213"/>
      <c r="BY13" s="1213"/>
      <c r="BZ13" s="1213"/>
      <c r="CA13" s="1213"/>
      <c r="CB13" s="1213"/>
      <c r="CC13" s="1213"/>
      <c r="CD13" s="1213"/>
      <c r="CE13" s="1213"/>
      <c r="CF13" s="1213"/>
      <c r="CG13" s="1213"/>
      <c r="CH13" s="1213"/>
      <c r="CI13" s="1213"/>
      <c r="CJ13" s="1213"/>
      <c r="CK13" s="1213"/>
      <c r="CL13" s="1213"/>
      <c r="CM13" s="1213"/>
      <c r="CN13" s="1213"/>
      <c r="CO13" s="1213"/>
      <c r="CP13" s="1213"/>
      <c r="CQ13" s="1213"/>
      <c r="CR13" s="1213"/>
      <c r="CS13" s="1213"/>
      <c r="CT13" s="1213"/>
      <c r="CU13" s="1213"/>
      <c r="CV13" s="1213"/>
      <c r="CW13" s="1213"/>
      <c r="CX13" s="1213"/>
      <c r="CY13" s="1213"/>
      <c r="CZ13" s="1213"/>
      <c r="DA13" s="1213"/>
      <c r="DB13" s="1213"/>
      <c r="DC13" s="1213"/>
      <c r="DD13" s="1213"/>
      <c r="DE13" s="1213"/>
      <c r="DF13" s="1213"/>
      <c r="DG13" s="1213"/>
      <c r="DH13" s="1213"/>
      <c r="DI13" s="1213"/>
      <c r="DJ13" s="1213"/>
      <c r="DK13" s="1213"/>
      <c r="DL13" s="1213"/>
      <c r="DM13" s="1213"/>
      <c r="DN13" s="1213"/>
      <c r="DO13" s="1213"/>
      <c r="DP13" s="1213"/>
      <c r="DQ13" s="1213"/>
      <c r="DR13" s="1213"/>
      <c r="DS13" s="1213"/>
      <c r="DT13" s="1213"/>
      <c r="DU13" s="1213"/>
      <c r="DV13" s="1213"/>
      <c r="DW13" s="1213"/>
      <c r="DX13" s="1213"/>
      <c r="DY13" s="1213"/>
      <c r="DZ13" s="1213"/>
      <c r="EA13" s="1213"/>
      <c r="EB13" s="1213"/>
      <c r="EC13" s="1213"/>
      <c r="ED13" s="1213"/>
      <c r="EE13" s="1213"/>
      <c r="EF13" s="1213"/>
      <c r="EG13" s="1213"/>
      <c r="EH13" s="1213"/>
      <c r="EI13" s="1213"/>
      <c r="EJ13" s="1213"/>
      <c r="EK13" s="1213"/>
      <c r="EL13" s="1213"/>
      <c r="EM13" s="1213"/>
      <c r="EN13" s="1213"/>
      <c r="EO13" s="1213"/>
      <c r="EP13" s="1213"/>
      <c r="EQ13" s="1213"/>
      <c r="ER13" s="1213"/>
      <c r="ES13" s="1213"/>
      <c r="ET13" s="1213"/>
      <c r="EU13" s="1213"/>
      <c r="EV13" s="1213"/>
      <c r="EW13" s="1213"/>
      <c r="EX13" s="1213"/>
      <c r="EY13" s="1213"/>
      <c r="EZ13" s="1213"/>
      <c r="FA13" s="1213"/>
      <c r="FB13" s="1213"/>
      <c r="FC13" s="1213"/>
      <c r="FD13" s="1213"/>
      <c r="FE13" s="1213"/>
      <c r="FF13" s="1213"/>
      <c r="FG13" s="1213"/>
      <c r="FH13" s="1213"/>
      <c r="FI13" s="1213"/>
      <c r="FJ13" s="1213"/>
    </row>
    <row r="14" spans="1:166" s="1214" customFormat="1" ht="45.75" customHeight="1">
      <c r="A14" s="1215" t="s">
        <v>1324</v>
      </c>
      <c r="B14" s="1216">
        <f>B12+B13</f>
        <v>0</v>
      </c>
      <c r="C14" s="1208"/>
      <c r="D14" s="1209"/>
      <c r="E14" s="1210"/>
      <c r="F14" s="1210"/>
      <c r="G14" s="1211"/>
      <c r="H14" s="1211"/>
      <c r="I14" s="1211"/>
      <c r="J14" s="1211"/>
      <c r="K14" s="1211"/>
      <c r="L14" s="1211"/>
      <c r="M14" s="1211"/>
      <c r="N14" s="1211"/>
      <c r="O14" s="1211"/>
      <c r="P14" s="1211"/>
      <c r="Q14" s="1211"/>
      <c r="R14" s="1211"/>
      <c r="S14" s="1211"/>
      <c r="T14" s="1211"/>
      <c r="U14" s="1211"/>
      <c r="V14" s="1211"/>
      <c r="W14" s="1211"/>
      <c r="X14" s="1211"/>
      <c r="Y14" s="1211"/>
      <c r="Z14" s="1211"/>
      <c r="AA14" s="1211"/>
      <c r="AB14" s="1211"/>
      <c r="AC14" s="1211"/>
      <c r="AD14" s="1211"/>
      <c r="AE14" s="1211"/>
      <c r="AF14" s="1211"/>
      <c r="AG14" s="1211"/>
      <c r="AH14" s="1211"/>
      <c r="AI14" s="1211"/>
      <c r="AJ14" s="1211"/>
      <c r="AK14" s="1211"/>
      <c r="AL14" s="1211"/>
      <c r="AM14" s="1211"/>
      <c r="AN14" s="1211"/>
      <c r="AO14" s="1211"/>
      <c r="AP14" s="1211"/>
      <c r="AQ14" s="1211"/>
      <c r="AR14" s="1211"/>
      <c r="AS14" s="1211"/>
      <c r="AT14" s="1211"/>
      <c r="AU14" s="1211"/>
      <c r="AV14" s="1211"/>
      <c r="AW14" s="1211"/>
      <c r="AX14" s="1211"/>
      <c r="AY14" s="1211"/>
      <c r="AZ14" s="1211"/>
      <c r="BA14" s="1211"/>
      <c r="BB14" s="1211"/>
      <c r="BC14" s="1211"/>
      <c r="BD14" s="1211"/>
      <c r="BE14" s="1211"/>
      <c r="BF14" s="1211"/>
      <c r="BG14" s="1211"/>
      <c r="BH14" s="1211"/>
      <c r="BI14" s="1211"/>
      <c r="BJ14" s="1211"/>
      <c r="BK14" s="1211"/>
      <c r="BL14" s="1211"/>
      <c r="BM14" s="1211"/>
      <c r="BN14" s="1211"/>
      <c r="BO14" s="1211"/>
      <c r="BP14" s="1211"/>
      <c r="BQ14" s="1211"/>
      <c r="BR14" s="1211"/>
      <c r="BS14" s="1212"/>
      <c r="BT14" s="1213"/>
      <c r="BU14" s="1213"/>
      <c r="BV14" s="1213"/>
      <c r="BW14" s="1213"/>
      <c r="BX14" s="1213"/>
      <c r="BY14" s="1213"/>
      <c r="BZ14" s="1213"/>
      <c r="CA14" s="1213"/>
      <c r="CB14" s="1213"/>
      <c r="CC14" s="1213"/>
      <c r="CD14" s="1213"/>
      <c r="CE14" s="1213"/>
      <c r="CF14" s="1213"/>
      <c r="CG14" s="1213"/>
      <c r="CH14" s="1213"/>
      <c r="CI14" s="1213"/>
      <c r="CJ14" s="1213"/>
      <c r="CK14" s="1213"/>
      <c r="CL14" s="1213"/>
      <c r="CM14" s="1213"/>
      <c r="CN14" s="1213"/>
      <c r="CO14" s="1213"/>
      <c r="CP14" s="1213"/>
      <c r="CQ14" s="1213"/>
      <c r="CR14" s="1213"/>
      <c r="CS14" s="1213"/>
      <c r="CT14" s="1213"/>
      <c r="CU14" s="1213"/>
      <c r="CV14" s="1213"/>
      <c r="CW14" s="1213"/>
      <c r="CX14" s="1213"/>
      <c r="CY14" s="1213"/>
      <c r="CZ14" s="1213"/>
      <c r="DA14" s="1213"/>
      <c r="DB14" s="1213"/>
      <c r="DC14" s="1213"/>
      <c r="DD14" s="1213"/>
      <c r="DE14" s="1213"/>
      <c r="DF14" s="1213"/>
      <c r="DG14" s="1213"/>
      <c r="DH14" s="1213"/>
      <c r="DI14" s="1213"/>
      <c r="DJ14" s="1213"/>
      <c r="DK14" s="1213"/>
      <c r="DL14" s="1213"/>
      <c r="DM14" s="1213"/>
      <c r="DN14" s="1213"/>
      <c r="DO14" s="1213"/>
      <c r="DP14" s="1213"/>
      <c r="DQ14" s="1213"/>
      <c r="DR14" s="1213"/>
      <c r="DS14" s="1213"/>
      <c r="DT14" s="1213"/>
      <c r="DU14" s="1213"/>
      <c r="DV14" s="1213"/>
      <c r="DW14" s="1213"/>
      <c r="DX14" s="1213"/>
      <c r="DY14" s="1213"/>
      <c r="DZ14" s="1213"/>
      <c r="EA14" s="1213"/>
      <c r="EB14" s="1213"/>
      <c r="EC14" s="1213"/>
      <c r="ED14" s="1213"/>
      <c r="EE14" s="1213"/>
      <c r="EF14" s="1213"/>
      <c r="EG14" s="1213"/>
      <c r="EH14" s="1213"/>
      <c r="EI14" s="1213"/>
      <c r="EJ14" s="1213"/>
      <c r="EK14" s="1213"/>
      <c r="EL14" s="1213"/>
      <c r="EM14" s="1213"/>
      <c r="EN14" s="1213"/>
      <c r="EO14" s="1213"/>
      <c r="EP14" s="1213"/>
      <c r="EQ14" s="1213"/>
      <c r="ER14" s="1213"/>
      <c r="ES14" s="1213"/>
      <c r="ET14" s="1213"/>
      <c r="EU14" s="1213"/>
      <c r="EV14" s="1213"/>
      <c r="EW14" s="1213"/>
      <c r="EX14" s="1213"/>
      <c r="EY14" s="1213"/>
      <c r="EZ14" s="1213"/>
      <c r="FA14" s="1213"/>
      <c r="FB14" s="1213"/>
      <c r="FC14" s="1213"/>
      <c r="FD14" s="1213"/>
      <c r="FE14" s="1213"/>
      <c r="FF14" s="1213"/>
      <c r="FG14" s="1213"/>
      <c r="FH14" s="1213"/>
      <c r="FI14" s="1213"/>
      <c r="FJ14" s="1213"/>
    </row>
    <row r="15" spans="1:166" s="627" customFormat="1">
      <c r="B15" s="630"/>
    </row>
    <row r="16" spans="1:166" s="627" customFormat="1">
      <c r="B16" s="630"/>
    </row>
    <row r="17" spans="2:2" s="627" customFormat="1">
      <c r="B17" s="630"/>
    </row>
    <row r="18" spans="2:2" s="627" customFormat="1">
      <c r="B18" s="630"/>
    </row>
    <row r="19" spans="2:2" s="627" customFormat="1">
      <c r="B19" s="630"/>
    </row>
    <row r="20" spans="2:2" s="627" customFormat="1">
      <c r="B20" s="630"/>
    </row>
    <row r="21" spans="2:2" s="627" customFormat="1">
      <c r="B21" s="630"/>
    </row>
    <row r="22" spans="2:2" s="627" customFormat="1">
      <c r="B22" s="630"/>
    </row>
    <row r="23" spans="2:2" s="627" customFormat="1">
      <c r="B23" s="630"/>
    </row>
    <row r="24" spans="2:2" s="627" customFormat="1">
      <c r="B24" s="630"/>
    </row>
    <row r="25" spans="2:2" s="627" customFormat="1">
      <c r="B25" s="630"/>
    </row>
    <row r="26" spans="2:2" s="627" customFormat="1">
      <c r="B26" s="630"/>
    </row>
    <row r="27" spans="2:2" s="627" customFormat="1">
      <c r="B27" s="630"/>
    </row>
    <row r="28" spans="2:2" s="627" customFormat="1">
      <c r="B28" s="630"/>
    </row>
    <row r="29" spans="2:2" s="627" customFormat="1">
      <c r="B29" s="630"/>
    </row>
    <row r="30" spans="2:2" s="627" customFormat="1">
      <c r="B30" s="630"/>
    </row>
    <row r="31" spans="2:2" s="627" customFormat="1">
      <c r="B31" s="630"/>
    </row>
    <row r="32" spans="2:2" s="627" customFormat="1">
      <c r="B32" s="630"/>
    </row>
    <row r="33" spans="2:2" s="627" customFormat="1">
      <c r="B33" s="630"/>
    </row>
    <row r="34" spans="2:2" s="627" customFormat="1">
      <c r="B34" s="630"/>
    </row>
    <row r="35" spans="2:2" s="627" customFormat="1">
      <c r="B35" s="630"/>
    </row>
    <row r="36" spans="2:2" s="627" customFormat="1">
      <c r="B36" s="630"/>
    </row>
    <row r="37" spans="2:2" s="627" customFormat="1">
      <c r="B37" s="630"/>
    </row>
    <row r="38" spans="2:2" s="627" customFormat="1">
      <c r="B38" s="630"/>
    </row>
    <row r="39" spans="2:2" s="627" customFormat="1">
      <c r="B39" s="630"/>
    </row>
    <row r="40" spans="2:2" s="627" customFormat="1">
      <c r="B40" s="630"/>
    </row>
    <row r="41" spans="2:2" s="627" customFormat="1">
      <c r="B41" s="630"/>
    </row>
    <row r="42" spans="2:2" s="627" customFormat="1">
      <c r="B42" s="630"/>
    </row>
    <row r="43" spans="2:2" s="627" customFormat="1">
      <c r="B43" s="630"/>
    </row>
    <row r="44" spans="2:2" s="627" customFormat="1">
      <c r="B44" s="630"/>
    </row>
    <row r="45" spans="2:2" s="627" customFormat="1">
      <c r="B45" s="630"/>
    </row>
    <row r="46" spans="2:2" s="627" customFormat="1">
      <c r="B46" s="630"/>
    </row>
    <row r="47" spans="2:2" s="627" customFormat="1">
      <c r="B47" s="630"/>
    </row>
    <row r="48" spans="2:2" s="627" customFormat="1">
      <c r="B48" s="630"/>
    </row>
    <row r="49" spans="2:2" s="627" customFormat="1">
      <c r="B49" s="630"/>
    </row>
    <row r="50" spans="2:2" s="627" customFormat="1">
      <c r="B50" s="630"/>
    </row>
    <row r="51" spans="2:2" s="627" customFormat="1">
      <c r="B51" s="630"/>
    </row>
    <row r="52" spans="2:2" s="627" customFormat="1">
      <c r="B52" s="630"/>
    </row>
    <row r="53" spans="2:2" s="627" customFormat="1">
      <c r="B53" s="630"/>
    </row>
    <row r="54" spans="2:2" s="627" customFormat="1">
      <c r="B54" s="630"/>
    </row>
    <row r="55" spans="2:2" s="627" customFormat="1">
      <c r="B55" s="630"/>
    </row>
    <row r="56" spans="2:2" s="627" customFormat="1">
      <c r="B56" s="630"/>
    </row>
    <row r="57" spans="2:2" s="627" customFormat="1">
      <c r="B57" s="630"/>
    </row>
    <row r="58" spans="2:2" s="627" customFormat="1">
      <c r="B58" s="630"/>
    </row>
    <row r="59" spans="2:2" s="627" customFormat="1">
      <c r="B59" s="630"/>
    </row>
    <row r="60" spans="2:2" s="627" customFormat="1">
      <c r="B60" s="630"/>
    </row>
    <row r="61" spans="2:2" s="627" customFormat="1">
      <c r="B61" s="630"/>
    </row>
    <row r="62" spans="2:2" s="627" customFormat="1">
      <c r="B62" s="630"/>
    </row>
    <row r="63" spans="2:2" s="627" customFormat="1">
      <c r="B63" s="630"/>
    </row>
    <row r="64" spans="2:2" s="627" customFormat="1">
      <c r="B64" s="630"/>
    </row>
    <row r="65" spans="2:2" s="627" customFormat="1">
      <c r="B65" s="630"/>
    </row>
    <row r="66" spans="2:2" s="627" customFormat="1">
      <c r="B66" s="630"/>
    </row>
    <row r="67" spans="2:2" s="627" customFormat="1">
      <c r="B67" s="630"/>
    </row>
    <row r="68" spans="2:2" s="627" customFormat="1">
      <c r="B68" s="630"/>
    </row>
    <row r="69" spans="2:2" s="627" customFormat="1">
      <c r="B69" s="630"/>
    </row>
    <row r="70" spans="2:2" s="627" customFormat="1">
      <c r="B70" s="630"/>
    </row>
    <row r="71" spans="2:2" s="627" customFormat="1">
      <c r="B71" s="630"/>
    </row>
    <row r="72" spans="2:2" s="627" customFormat="1">
      <c r="B72" s="630"/>
    </row>
    <row r="73" spans="2:2" s="627" customFormat="1">
      <c r="B73" s="630"/>
    </row>
    <row r="74" spans="2:2" s="627" customFormat="1">
      <c r="B74" s="630"/>
    </row>
    <row r="75" spans="2:2" s="627" customFormat="1">
      <c r="B75" s="630"/>
    </row>
    <row r="76" spans="2:2" s="627" customFormat="1">
      <c r="B76" s="630"/>
    </row>
    <row r="77" spans="2:2" s="627" customFormat="1">
      <c r="B77" s="630"/>
    </row>
    <row r="78" spans="2:2" s="627" customFormat="1">
      <c r="B78" s="630"/>
    </row>
    <row r="79" spans="2:2" s="627" customFormat="1">
      <c r="B79" s="630"/>
    </row>
    <row r="80" spans="2:2" s="627" customFormat="1">
      <c r="B80" s="630"/>
    </row>
    <row r="81" spans="2:2" s="627" customFormat="1">
      <c r="B81" s="630"/>
    </row>
    <row r="82" spans="2:2" s="627" customFormat="1">
      <c r="B82" s="630"/>
    </row>
    <row r="83" spans="2:2" s="627" customFormat="1">
      <c r="B83" s="630"/>
    </row>
    <row r="84" spans="2:2" s="627" customFormat="1">
      <c r="B84" s="630"/>
    </row>
    <row r="85" spans="2:2" s="627" customFormat="1">
      <c r="B85" s="630"/>
    </row>
    <row r="86" spans="2:2" s="627" customFormat="1">
      <c r="B86" s="630"/>
    </row>
    <row r="87" spans="2:2" s="627" customFormat="1">
      <c r="B87" s="630"/>
    </row>
    <row r="88" spans="2:2" s="627" customFormat="1">
      <c r="B88" s="630"/>
    </row>
    <row r="89" spans="2:2" s="627" customFormat="1">
      <c r="B89" s="630"/>
    </row>
    <row r="90" spans="2:2" s="627" customFormat="1">
      <c r="B90" s="630"/>
    </row>
    <row r="91" spans="2:2" s="627" customFormat="1">
      <c r="B91" s="630"/>
    </row>
    <row r="92" spans="2:2" s="627" customFormat="1">
      <c r="B92" s="630"/>
    </row>
    <row r="93" spans="2:2" s="627" customFormat="1">
      <c r="B93" s="630"/>
    </row>
    <row r="94" spans="2:2" s="627" customFormat="1">
      <c r="B94" s="630"/>
    </row>
    <row r="95" spans="2:2" s="627" customFormat="1">
      <c r="B95" s="630"/>
    </row>
    <row r="96" spans="2:2" s="627" customFormat="1">
      <c r="B96" s="630"/>
    </row>
    <row r="97" spans="2:2" s="627" customFormat="1">
      <c r="B97" s="630"/>
    </row>
    <row r="98" spans="2:2" s="627" customFormat="1">
      <c r="B98" s="630"/>
    </row>
    <row r="99" spans="2:2" s="627" customFormat="1">
      <c r="B99" s="630"/>
    </row>
    <row r="100" spans="2:2" s="627" customFormat="1">
      <c r="B100" s="630"/>
    </row>
    <row r="101" spans="2:2" s="627" customFormat="1">
      <c r="B101" s="630"/>
    </row>
    <row r="102" spans="2:2" s="627" customFormat="1">
      <c r="B102" s="630"/>
    </row>
    <row r="103" spans="2:2" s="627" customFormat="1">
      <c r="B103" s="630"/>
    </row>
    <row r="104" spans="2:2" s="627" customFormat="1">
      <c r="B104" s="630"/>
    </row>
    <row r="105" spans="2:2" s="627" customFormat="1">
      <c r="B105" s="630"/>
    </row>
    <row r="106" spans="2:2" s="627" customFormat="1">
      <c r="B106" s="630"/>
    </row>
    <row r="107" spans="2:2" s="627" customFormat="1">
      <c r="B107" s="630"/>
    </row>
    <row r="108" spans="2:2" s="627" customFormat="1">
      <c r="B108" s="630"/>
    </row>
    <row r="109" spans="2:2" s="627" customFormat="1">
      <c r="B109" s="630"/>
    </row>
    <row r="110" spans="2:2" s="627" customFormat="1">
      <c r="B110" s="630"/>
    </row>
    <row r="111" spans="2:2" s="627" customFormat="1">
      <c r="B111" s="630"/>
    </row>
    <row r="112" spans="2:2" s="627" customFormat="1">
      <c r="B112" s="630"/>
    </row>
    <row r="113" spans="2:2" s="627" customFormat="1">
      <c r="B113" s="630"/>
    </row>
    <row r="114" spans="2:2" s="627" customFormat="1">
      <c r="B114" s="630"/>
    </row>
    <row r="115" spans="2:2" s="627" customFormat="1">
      <c r="B115" s="630"/>
    </row>
    <row r="116" spans="2:2" s="627" customFormat="1">
      <c r="B116" s="630"/>
    </row>
    <row r="117" spans="2:2" s="627" customFormat="1">
      <c r="B117" s="630"/>
    </row>
    <row r="118" spans="2:2" s="627" customFormat="1">
      <c r="B118" s="630"/>
    </row>
    <row r="119" spans="2:2" s="627" customFormat="1">
      <c r="B119" s="630"/>
    </row>
    <row r="120" spans="2:2" s="627" customFormat="1">
      <c r="B120" s="630"/>
    </row>
    <row r="121" spans="2:2" s="627" customFormat="1">
      <c r="B121" s="630"/>
    </row>
    <row r="122" spans="2:2" s="627" customFormat="1">
      <c r="B122" s="630"/>
    </row>
    <row r="123" spans="2:2" s="627" customFormat="1">
      <c r="B123" s="630"/>
    </row>
    <row r="124" spans="2:2" s="627" customFormat="1">
      <c r="B124" s="630"/>
    </row>
    <row r="125" spans="2:2" s="627" customFormat="1">
      <c r="B125" s="630"/>
    </row>
    <row r="126" spans="2:2" s="627" customFormat="1">
      <c r="B126" s="630"/>
    </row>
    <row r="127" spans="2:2" s="627" customFormat="1">
      <c r="B127" s="630"/>
    </row>
    <row r="128" spans="2:2" s="627" customFormat="1">
      <c r="B128" s="630"/>
    </row>
    <row r="129" spans="2:2" s="627" customFormat="1">
      <c r="B129" s="630"/>
    </row>
    <row r="130" spans="2:2" s="627" customFormat="1">
      <c r="B130" s="630"/>
    </row>
    <row r="131" spans="2:2" s="627" customFormat="1">
      <c r="B131" s="630"/>
    </row>
    <row r="132" spans="2:2" s="627" customFormat="1">
      <c r="B132" s="630"/>
    </row>
    <row r="133" spans="2:2" s="627" customFormat="1">
      <c r="B133" s="630"/>
    </row>
    <row r="134" spans="2:2" s="627" customFormat="1">
      <c r="B134" s="630"/>
    </row>
    <row r="135" spans="2:2" s="627" customFormat="1">
      <c r="B135" s="630"/>
    </row>
    <row r="136" spans="2:2" s="627" customFormat="1">
      <c r="B136" s="630"/>
    </row>
    <row r="137" spans="2:2" s="627" customFormat="1">
      <c r="B137" s="630"/>
    </row>
    <row r="138" spans="2:2" s="627" customFormat="1">
      <c r="B138" s="630"/>
    </row>
    <row r="139" spans="2:2" s="627" customFormat="1">
      <c r="B139" s="630"/>
    </row>
    <row r="140" spans="2:2" s="627" customFormat="1">
      <c r="B140" s="630"/>
    </row>
    <row r="141" spans="2:2" s="627" customFormat="1">
      <c r="B141" s="630"/>
    </row>
    <row r="142" spans="2:2" s="627" customFormat="1">
      <c r="B142" s="630"/>
    </row>
    <row r="143" spans="2:2" s="627" customFormat="1">
      <c r="B143" s="630"/>
    </row>
    <row r="144" spans="2:2" s="627" customFormat="1">
      <c r="B144" s="630"/>
    </row>
    <row r="145" spans="2:2" s="627" customFormat="1">
      <c r="B145" s="630"/>
    </row>
    <row r="146" spans="2:2" s="627" customFormat="1">
      <c r="B146" s="630"/>
    </row>
    <row r="147" spans="2:2" s="627" customFormat="1">
      <c r="B147" s="630"/>
    </row>
    <row r="148" spans="2:2" s="627" customFormat="1">
      <c r="B148" s="630"/>
    </row>
    <row r="149" spans="2:2" s="627" customFormat="1">
      <c r="B149" s="630"/>
    </row>
    <row r="150" spans="2:2" s="627" customFormat="1">
      <c r="B150" s="630"/>
    </row>
    <row r="151" spans="2:2" s="627" customFormat="1">
      <c r="B151" s="630"/>
    </row>
    <row r="152" spans="2:2" s="627" customFormat="1">
      <c r="B152" s="630"/>
    </row>
    <row r="153" spans="2:2" s="627" customFormat="1">
      <c r="B153" s="630"/>
    </row>
    <row r="154" spans="2:2" s="627" customFormat="1">
      <c r="B154" s="630"/>
    </row>
    <row r="155" spans="2:2" s="627" customFormat="1">
      <c r="B155" s="630"/>
    </row>
    <row r="156" spans="2:2" s="627" customFormat="1">
      <c r="B156" s="630"/>
    </row>
    <row r="157" spans="2:2" s="627" customFormat="1">
      <c r="B157" s="630"/>
    </row>
    <row r="158" spans="2:2" s="627" customFormat="1">
      <c r="B158" s="630"/>
    </row>
    <row r="159" spans="2:2" s="627" customFormat="1">
      <c r="B159" s="630"/>
    </row>
    <row r="160" spans="2:2" s="627" customFormat="1">
      <c r="B160" s="630"/>
    </row>
    <row r="161" spans="2:2" s="627" customFormat="1">
      <c r="B161" s="630"/>
    </row>
    <row r="162" spans="2:2" s="627" customFormat="1">
      <c r="B162" s="630"/>
    </row>
    <row r="163" spans="2:2" s="627" customFormat="1">
      <c r="B163" s="630"/>
    </row>
    <row r="164" spans="2:2" s="627" customFormat="1">
      <c r="B164" s="630"/>
    </row>
    <row r="165" spans="2:2" s="627" customFormat="1">
      <c r="B165" s="630"/>
    </row>
    <row r="166" spans="2:2" s="627" customFormat="1">
      <c r="B166" s="630"/>
    </row>
    <row r="167" spans="2:2" s="627" customFormat="1">
      <c r="B167" s="630"/>
    </row>
    <row r="168" spans="2:2" s="627" customFormat="1">
      <c r="B168" s="630"/>
    </row>
    <row r="169" spans="2:2" s="627" customFormat="1">
      <c r="B169" s="630"/>
    </row>
    <row r="170" spans="2:2" s="627" customFormat="1">
      <c r="B170" s="630"/>
    </row>
    <row r="171" spans="2:2" s="627" customFormat="1">
      <c r="B171" s="630"/>
    </row>
    <row r="172" spans="2:2" s="627" customFormat="1">
      <c r="B172" s="630"/>
    </row>
    <row r="173" spans="2:2" s="627" customFormat="1">
      <c r="B173" s="630"/>
    </row>
    <row r="174" spans="2:2" s="627" customFormat="1">
      <c r="B174" s="630"/>
    </row>
    <row r="175" spans="2:2" s="627" customFormat="1">
      <c r="B175" s="630"/>
    </row>
    <row r="176" spans="2:2" s="627" customFormat="1">
      <c r="B176" s="630"/>
    </row>
    <row r="177" spans="2:2" s="627" customFormat="1">
      <c r="B177" s="630"/>
    </row>
    <row r="178" spans="2:2" s="627" customFormat="1">
      <c r="B178" s="630"/>
    </row>
    <row r="179" spans="2:2" s="627" customFormat="1">
      <c r="B179" s="630"/>
    </row>
    <row r="180" spans="2:2" s="627" customFormat="1">
      <c r="B180" s="630"/>
    </row>
    <row r="181" spans="2:2" s="627" customFormat="1">
      <c r="B181" s="630"/>
    </row>
    <row r="182" spans="2:2" s="627" customFormat="1">
      <c r="B182" s="630"/>
    </row>
    <row r="183" spans="2:2" s="627" customFormat="1">
      <c r="B183" s="630"/>
    </row>
    <row r="184" spans="2:2" s="627" customFormat="1">
      <c r="B184" s="630"/>
    </row>
    <row r="185" spans="2:2" s="627" customFormat="1">
      <c r="B185" s="630"/>
    </row>
    <row r="186" spans="2:2" s="627" customFormat="1">
      <c r="B186" s="630"/>
    </row>
    <row r="187" spans="2:2" s="627" customFormat="1">
      <c r="B187" s="630"/>
    </row>
    <row r="188" spans="2:2" s="627" customFormat="1">
      <c r="B188" s="630"/>
    </row>
    <row r="189" spans="2:2" s="627" customFormat="1">
      <c r="B189" s="630"/>
    </row>
    <row r="190" spans="2:2" s="627" customFormat="1">
      <c r="B190" s="630"/>
    </row>
    <row r="191" spans="2:2" s="627" customFormat="1">
      <c r="B191" s="630"/>
    </row>
    <row r="192" spans="2:2" s="627" customFormat="1">
      <c r="B192" s="630"/>
    </row>
    <row r="193" spans="2:2" s="627" customFormat="1">
      <c r="B193" s="630"/>
    </row>
    <row r="194" spans="2:2" s="627" customFormat="1">
      <c r="B194" s="630"/>
    </row>
    <row r="195" spans="2:2" s="627" customFormat="1">
      <c r="B195" s="630"/>
    </row>
    <row r="196" spans="2:2" s="627" customFormat="1">
      <c r="B196" s="630"/>
    </row>
    <row r="197" spans="2:2" s="627" customFormat="1">
      <c r="B197" s="630"/>
    </row>
    <row r="198" spans="2:2" s="627" customFormat="1">
      <c r="B198" s="630"/>
    </row>
    <row r="199" spans="2:2" s="627" customFormat="1">
      <c r="B199" s="630"/>
    </row>
    <row r="200" spans="2:2" s="627" customFormat="1">
      <c r="B200" s="630"/>
    </row>
    <row r="201" spans="2:2" s="627" customFormat="1">
      <c r="B201" s="630"/>
    </row>
    <row r="202" spans="2:2" s="627" customFormat="1">
      <c r="B202" s="630"/>
    </row>
    <row r="203" spans="2:2" s="627" customFormat="1">
      <c r="B203" s="630"/>
    </row>
    <row r="204" spans="2:2" s="627" customFormat="1">
      <c r="B204" s="630"/>
    </row>
    <row r="205" spans="2:2" s="627" customFormat="1">
      <c r="B205" s="630"/>
    </row>
    <row r="206" spans="2:2" s="627" customFormat="1">
      <c r="B206" s="630"/>
    </row>
    <row r="207" spans="2:2" s="627" customFormat="1">
      <c r="B207" s="630"/>
    </row>
    <row r="208" spans="2:2" s="627" customFormat="1">
      <c r="B208" s="630"/>
    </row>
    <row r="209" spans="2:2" s="627" customFormat="1">
      <c r="B209" s="630"/>
    </row>
    <row r="210" spans="2:2" s="627" customFormat="1">
      <c r="B210" s="630"/>
    </row>
    <row r="211" spans="2:2" s="627" customFormat="1">
      <c r="B211" s="630"/>
    </row>
    <row r="212" spans="2:2" s="627" customFormat="1">
      <c r="B212" s="630"/>
    </row>
    <row r="213" spans="2:2" s="627" customFormat="1">
      <c r="B213" s="630"/>
    </row>
    <row r="214" spans="2:2" s="627" customFormat="1">
      <c r="B214" s="630"/>
    </row>
    <row r="215" spans="2:2" s="627" customFormat="1">
      <c r="B215" s="630"/>
    </row>
    <row r="216" spans="2:2" s="627" customFormat="1">
      <c r="B216" s="630"/>
    </row>
    <row r="217" spans="2:2" s="627" customFormat="1">
      <c r="B217" s="630"/>
    </row>
    <row r="218" spans="2:2" s="627" customFormat="1">
      <c r="B218" s="630"/>
    </row>
    <row r="219" spans="2:2" s="627" customFormat="1">
      <c r="B219" s="630"/>
    </row>
    <row r="220" spans="2:2" s="627" customFormat="1">
      <c r="B220" s="630"/>
    </row>
    <row r="221" spans="2:2" s="627" customFormat="1">
      <c r="B221" s="630"/>
    </row>
    <row r="222" spans="2:2" s="627" customFormat="1">
      <c r="B222" s="630"/>
    </row>
    <row r="223" spans="2:2" s="627" customFormat="1">
      <c r="B223" s="630"/>
    </row>
    <row r="224" spans="2:2" s="627" customFormat="1">
      <c r="B224" s="630"/>
    </row>
    <row r="225" spans="2:2" s="627" customFormat="1">
      <c r="B225" s="630"/>
    </row>
    <row r="226" spans="2:2" s="627" customFormat="1">
      <c r="B226" s="630"/>
    </row>
    <row r="227" spans="2:2" s="627" customFormat="1">
      <c r="B227" s="630"/>
    </row>
    <row r="228" spans="2:2" s="627" customFormat="1">
      <c r="B228" s="630"/>
    </row>
    <row r="229" spans="2:2" s="627" customFormat="1">
      <c r="B229" s="630"/>
    </row>
    <row r="230" spans="2:2" s="627" customFormat="1">
      <c r="B230" s="630"/>
    </row>
    <row r="231" spans="2:2" s="627" customFormat="1">
      <c r="B231" s="630"/>
    </row>
    <row r="232" spans="2:2" s="627" customFormat="1">
      <c r="B232" s="630"/>
    </row>
    <row r="233" spans="2:2" s="627" customFormat="1">
      <c r="B233" s="630"/>
    </row>
    <row r="234" spans="2:2" s="627" customFormat="1">
      <c r="B234" s="630"/>
    </row>
    <row r="235" spans="2:2" s="627" customFormat="1">
      <c r="B235" s="630"/>
    </row>
    <row r="236" spans="2:2" s="627" customFormat="1">
      <c r="B236" s="630"/>
    </row>
    <row r="237" spans="2:2" s="627" customFormat="1">
      <c r="B237" s="630"/>
    </row>
    <row r="238" spans="2:2" s="627" customFormat="1">
      <c r="B238" s="630"/>
    </row>
    <row r="239" spans="2:2" s="627" customFormat="1">
      <c r="B239" s="630"/>
    </row>
    <row r="240" spans="2:2" s="627" customFormat="1">
      <c r="B240" s="630"/>
    </row>
    <row r="241" spans="2:2" s="627" customFormat="1">
      <c r="B241" s="630"/>
    </row>
    <row r="242" spans="2:2" s="627" customFormat="1">
      <c r="B242" s="630"/>
    </row>
    <row r="243" spans="2:2" s="627" customFormat="1">
      <c r="B243" s="630"/>
    </row>
    <row r="244" spans="2:2" s="627" customFormat="1">
      <c r="B244" s="630"/>
    </row>
    <row r="245" spans="2:2" s="627" customFormat="1">
      <c r="B245" s="630"/>
    </row>
    <row r="246" spans="2:2" s="627" customFormat="1">
      <c r="B246" s="630"/>
    </row>
    <row r="247" spans="2:2" s="627" customFormat="1">
      <c r="B247" s="630"/>
    </row>
    <row r="248" spans="2:2" s="627" customFormat="1">
      <c r="B248" s="630"/>
    </row>
    <row r="249" spans="2:2" s="627" customFormat="1">
      <c r="B249" s="630"/>
    </row>
    <row r="250" spans="2:2" s="627" customFormat="1">
      <c r="B250" s="630"/>
    </row>
    <row r="251" spans="2:2" s="627" customFormat="1">
      <c r="B251" s="630"/>
    </row>
    <row r="252" spans="2:2" s="627" customFormat="1">
      <c r="B252" s="630"/>
    </row>
    <row r="253" spans="2:2" s="627" customFormat="1">
      <c r="B253" s="630"/>
    </row>
    <row r="254" spans="2:2" s="627" customFormat="1">
      <c r="B254" s="630"/>
    </row>
    <row r="255" spans="2:2" s="627" customFormat="1">
      <c r="B255" s="630"/>
    </row>
    <row r="256" spans="2:2" s="627" customFormat="1">
      <c r="B256" s="630"/>
    </row>
    <row r="257" spans="2:2" s="627" customFormat="1">
      <c r="B257" s="630"/>
    </row>
    <row r="258" spans="2:2" s="627" customFormat="1">
      <c r="B258" s="630"/>
    </row>
    <row r="259" spans="2:2" s="627" customFormat="1">
      <c r="B259" s="630"/>
    </row>
    <row r="260" spans="2:2" s="627" customFormat="1">
      <c r="B260" s="630"/>
    </row>
    <row r="261" spans="2:2" s="627" customFormat="1">
      <c r="B261" s="630"/>
    </row>
    <row r="262" spans="2:2" s="627" customFormat="1">
      <c r="B262" s="630"/>
    </row>
    <row r="263" spans="2:2" s="627" customFormat="1">
      <c r="B263" s="630"/>
    </row>
    <row r="264" spans="2:2" s="627" customFormat="1">
      <c r="B264" s="630"/>
    </row>
    <row r="265" spans="2:2" s="627" customFormat="1">
      <c r="B265" s="630"/>
    </row>
    <row r="266" spans="2:2" s="627" customFormat="1">
      <c r="B266" s="630"/>
    </row>
    <row r="267" spans="2:2" s="627" customFormat="1">
      <c r="B267" s="630"/>
    </row>
    <row r="268" spans="2:2" s="627" customFormat="1">
      <c r="B268" s="630"/>
    </row>
    <row r="269" spans="2:2" s="627" customFormat="1">
      <c r="B269" s="630"/>
    </row>
    <row r="270" spans="2:2" s="627" customFormat="1">
      <c r="B270" s="630"/>
    </row>
    <row r="271" spans="2:2" s="627" customFormat="1">
      <c r="B271" s="630"/>
    </row>
    <row r="272" spans="2:2" s="627" customFormat="1">
      <c r="B272" s="630"/>
    </row>
    <row r="273" spans="2:2" s="627" customFormat="1">
      <c r="B273" s="630"/>
    </row>
    <row r="274" spans="2:2" s="627" customFormat="1">
      <c r="B274" s="630"/>
    </row>
    <row r="275" spans="2:2" s="627" customFormat="1">
      <c r="B275" s="630"/>
    </row>
    <row r="276" spans="2:2" s="627" customFormat="1">
      <c r="B276" s="630"/>
    </row>
    <row r="277" spans="2:2" s="627" customFormat="1">
      <c r="B277" s="630"/>
    </row>
    <row r="278" spans="2:2" s="627" customFormat="1">
      <c r="B278" s="630"/>
    </row>
    <row r="279" spans="2:2" s="627" customFormat="1">
      <c r="B279" s="630"/>
    </row>
    <row r="280" spans="2:2" s="627" customFormat="1">
      <c r="B280" s="630"/>
    </row>
    <row r="281" spans="2:2" s="627" customFormat="1">
      <c r="B281" s="630"/>
    </row>
    <row r="282" spans="2:2" s="627" customFormat="1">
      <c r="B282" s="630"/>
    </row>
    <row r="283" spans="2:2" s="627" customFormat="1">
      <c r="B283" s="630"/>
    </row>
    <row r="284" spans="2:2" s="627" customFormat="1">
      <c r="B284" s="630"/>
    </row>
    <row r="285" spans="2:2" s="627" customFormat="1">
      <c r="B285" s="630"/>
    </row>
    <row r="286" spans="2:2" s="627" customFormat="1">
      <c r="B286" s="630"/>
    </row>
    <row r="287" spans="2:2" s="627" customFormat="1">
      <c r="B287" s="630"/>
    </row>
    <row r="288" spans="2:2" s="627" customFormat="1">
      <c r="B288" s="630"/>
    </row>
    <row r="289" spans="2:2" s="627" customFormat="1">
      <c r="B289" s="630"/>
    </row>
    <row r="290" spans="2:2" s="627" customFormat="1">
      <c r="B290" s="630"/>
    </row>
    <row r="291" spans="2:2" s="627" customFormat="1">
      <c r="B291" s="630"/>
    </row>
    <row r="292" spans="2:2" s="627" customFormat="1">
      <c r="B292" s="630"/>
    </row>
    <row r="293" spans="2:2" s="627" customFormat="1">
      <c r="B293" s="630"/>
    </row>
    <row r="294" spans="2:2" s="627" customFormat="1">
      <c r="B294" s="630"/>
    </row>
    <row r="295" spans="2:2" s="627" customFormat="1">
      <c r="B295" s="630"/>
    </row>
    <row r="296" spans="2:2" s="627" customFormat="1">
      <c r="B296" s="630"/>
    </row>
    <row r="297" spans="2:2" s="627" customFormat="1">
      <c r="B297" s="630"/>
    </row>
    <row r="298" spans="2:2" s="627" customFormat="1">
      <c r="B298" s="630"/>
    </row>
    <row r="299" spans="2:2" s="627" customFormat="1">
      <c r="B299" s="630"/>
    </row>
    <row r="300" spans="2:2" s="627" customFormat="1">
      <c r="B300" s="630"/>
    </row>
    <row r="301" spans="2:2" s="627" customFormat="1">
      <c r="B301" s="630"/>
    </row>
    <row r="302" spans="2:2" s="627" customFormat="1">
      <c r="B302" s="630"/>
    </row>
    <row r="303" spans="2:2" s="627" customFormat="1">
      <c r="B303" s="630"/>
    </row>
    <row r="304" spans="2:2" s="627" customFormat="1">
      <c r="B304" s="630"/>
    </row>
    <row r="305" spans="2:2" s="627" customFormat="1">
      <c r="B305" s="630"/>
    </row>
    <row r="306" spans="2:2" s="627" customFormat="1">
      <c r="B306" s="630"/>
    </row>
    <row r="307" spans="2:2" s="627" customFormat="1">
      <c r="B307" s="630"/>
    </row>
    <row r="308" spans="2:2" s="627" customFormat="1">
      <c r="B308" s="630"/>
    </row>
    <row r="309" spans="2:2" s="627" customFormat="1">
      <c r="B309" s="630"/>
    </row>
    <row r="310" spans="2:2" s="627" customFormat="1">
      <c r="B310" s="630"/>
    </row>
    <row r="311" spans="2:2" s="627" customFormat="1">
      <c r="B311" s="630"/>
    </row>
    <row r="312" spans="2:2" s="627" customFormat="1">
      <c r="B312" s="630"/>
    </row>
    <row r="313" spans="2:2" s="627" customFormat="1">
      <c r="B313" s="630"/>
    </row>
    <row r="314" spans="2:2" s="627" customFormat="1">
      <c r="B314" s="630"/>
    </row>
    <row r="315" spans="2:2" s="627" customFormat="1">
      <c r="B315" s="630"/>
    </row>
    <row r="316" spans="2:2" s="627" customFormat="1">
      <c r="B316" s="630"/>
    </row>
    <row r="317" spans="2:2" s="627" customFormat="1">
      <c r="B317" s="630"/>
    </row>
    <row r="318" spans="2:2" s="627" customFormat="1">
      <c r="B318" s="630"/>
    </row>
    <row r="319" spans="2:2" s="627" customFormat="1">
      <c r="B319" s="630"/>
    </row>
    <row r="320" spans="2:2" s="627" customFormat="1">
      <c r="B320" s="630"/>
    </row>
    <row r="321" spans="2:2" s="627" customFormat="1">
      <c r="B321" s="630"/>
    </row>
    <row r="322" spans="2:2" s="627" customFormat="1">
      <c r="B322" s="630"/>
    </row>
    <row r="323" spans="2:2" s="627" customFormat="1">
      <c r="B323" s="630"/>
    </row>
    <row r="324" spans="2:2" s="627" customFormat="1">
      <c r="B324" s="630"/>
    </row>
    <row r="325" spans="2:2" s="627" customFormat="1">
      <c r="B325" s="630"/>
    </row>
    <row r="326" spans="2:2" s="627" customFormat="1">
      <c r="B326" s="630"/>
    </row>
    <row r="327" spans="2:2" s="627" customFormat="1">
      <c r="B327" s="630"/>
    </row>
    <row r="328" spans="2:2" s="627" customFormat="1">
      <c r="B328" s="630"/>
    </row>
    <row r="329" spans="2:2" s="627" customFormat="1">
      <c r="B329" s="630"/>
    </row>
    <row r="330" spans="2:2" s="627" customFormat="1">
      <c r="B330" s="630"/>
    </row>
    <row r="331" spans="2:2" s="627" customFormat="1">
      <c r="B331" s="630"/>
    </row>
    <row r="332" spans="2:2" s="627" customFormat="1">
      <c r="B332" s="630"/>
    </row>
    <row r="333" spans="2:2" s="627" customFormat="1">
      <c r="B333" s="630"/>
    </row>
    <row r="334" spans="2:2" s="627" customFormat="1">
      <c r="B334" s="630"/>
    </row>
    <row r="335" spans="2:2" s="627" customFormat="1">
      <c r="B335" s="630"/>
    </row>
    <row r="336" spans="2:2" s="627" customFormat="1">
      <c r="B336" s="630"/>
    </row>
    <row r="337" spans="2:2" s="627" customFormat="1">
      <c r="B337" s="630"/>
    </row>
    <row r="338" spans="2:2" s="627" customFormat="1">
      <c r="B338" s="630"/>
    </row>
    <row r="339" spans="2:2" s="627" customFormat="1">
      <c r="B339" s="630"/>
    </row>
    <row r="340" spans="2:2" s="627" customFormat="1">
      <c r="B340" s="630"/>
    </row>
    <row r="341" spans="2:2" s="627" customFormat="1">
      <c r="B341" s="630"/>
    </row>
    <row r="342" spans="2:2" s="627" customFormat="1">
      <c r="B342" s="630"/>
    </row>
    <row r="343" spans="2:2" s="627" customFormat="1">
      <c r="B343" s="630"/>
    </row>
    <row r="344" spans="2:2" s="627" customFormat="1">
      <c r="B344" s="630"/>
    </row>
    <row r="345" spans="2:2" s="627" customFormat="1">
      <c r="B345" s="630"/>
    </row>
    <row r="346" spans="2:2" s="627" customFormat="1">
      <c r="B346" s="630"/>
    </row>
    <row r="347" spans="2:2" s="627" customFormat="1">
      <c r="B347" s="630"/>
    </row>
    <row r="348" spans="2:2" s="627" customFormat="1">
      <c r="B348" s="630"/>
    </row>
    <row r="349" spans="2:2" s="627" customFormat="1">
      <c r="B349" s="630"/>
    </row>
    <row r="350" spans="2:2" s="627" customFormat="1">
      <c r="B350" s="630"/>
    </row>
    <row r="351" spans="2:2" s="627" customFormat="1">
      <c r="B351" s="630"/>
    </row>
    <row r="352" spans="2:2" s="627" customFormat="1">
      <c r="B352" s="630"/>
    </row>
    <row r="356" spans="1:1">
      <c r="A356" s="623">
        <f>'[1]LOT 2_GRAĐEVINSKI RADOVI'!AM387</f>
        <v>1</v>
      </c>
    </row>
  </sheetData>
  <sheetProtection algorithmName="SHA-512" hashValue="kAqbAqsxw79BrBalKAGl5Jh2cSOMIUeS5hM7I4/I65bW+rmIRnvhZ+TiabS4MOM/KaatUHFd2hnmM3TemGH46Q==" saltValue="HQ0G3f+nfWnaVZyGkSTZGg==" spinCount="100000" sheet="1" objects="1" scenarios="1"/>
  <mergeCells count="1">
    <mergeCell ref="A1:B1"/>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L209"/>
  <sheetViews>
    <sheetView view="pageBreakPreview" zoomScale="40" zoomScaleSheetLayoutView="40" workbookViewId="0">
      <pane ySplit="2" topLeftCell="A3" activePane="bottomLeft" state="frozen"/>
      <selection activeCell="C1" sqref="C1"/>
      <selection pane="bottomLeft" activeCell="E1" sqref="E1:U1048576"/>
    </sheetView>
  </sheetViews>
  <sheetFormatPr defaultRowHeight="14.25"/>
  <cols>
    <col min="1" max="1" width="14.140625" style="621" customWidth="1"/>
    <col min="2" max="2" width="69.28515625" style="608" customWidth="1"/>
    <col min="3" max="3" width="25.7109375" style="691" customWidth="1"/>
    <col min="4" max="4" width="13.140625" style="691" customWidth="1"/>
    <col min="5" max="21" width="14.28515625" style="691" hidden="1" customWidth="1"/>
    <col min="22" max="22" width="12.140625" style="594" bestFit="1" customWidth="1"/>
    <col min="23" max="23" width="16.7109375" style="594" customWidth="1"/>
    <col min="24" max="24" width="22" style="661" customWidth="1"/>
    <col min="25" max="90" width="9.140625" style="642"/>
    <col min="91" max="16384" width="9.140625" style="594"/>
  </cols>
  <sheetData>
    <row r="1" spans="1:90" s="616" customFormat="1" ht="28.5" customHeight="1">
      <c r="A1" s="723" t="s">
        <v>2254</v>
      </c>
      <c r="B1" s="656"/>
      <c r="C1" s="657"/>
      <c r="D1" s="658"/>
      <c r="E1" s="658"/>
      <c r="F1" s="658"/>
      <c r="G1" s="658"/>
      <c r="H1" s="658"/>
      <c r="I1" s="658"/>
      <c r="J1" s="658"/>
      <c r="K1" s="658"/>
      <c r="L1" s="658"/>
      <c r="M1" s="658"/>
      <c r="N1" s="658"/>
      <c r="O1" s="658"/>
      <c r="P1" s="658"/>
      <c r="Q1" s="658"/>
      <c r="R1" s="658"/>
      <c r="S1" s="658"/>
      <c r="T1" s="658"/>
      <c r="U1" s="658"/>
      <c r="V1" s="656"/>
      <c r="W1" s="656"/>
      <c r="X1" s="656"/>
      <c r="Y1" s="724"/>
      <c r="Z1" s="724"/>
      <c r="AA1" s="724"/>
      <c r="AB1" s="724"/>
      <c r="AC1" s="724"/>
      <c r="AD1" s="724"/>
      <c r="AE1" s="724"/>
      <c r="AF1" s="724"/>
      <c r="AG1" s="724"/>
      <c r="AH1" s="724"/>
      <c r="AI1" s="724"/>
      <c r="AJ1" s="724"/>
      <c r="AK1" s="724"/>
      <c r="AL1" s="724"/>
      <c r="AM1" s="724"/>
      <c r="AN1" s="725"/>
      <c r="AO1" s="725"/>
      <c r="AP1" s="726"/>
      <c r="AQ1" s="639"/>
      <c r="AR1" s="639"/>
      <c r="AS1" s="639"/>
      <c r="AT1" s="639"/>
      <c r="AU1" s="639"/>
      <c r="AV1" s="639"/>
      <c r="AW1" s="639"/>
      <c r="AX1" s="639"/>
      <c r="AY1" s="639"/>
      <c r="AZ1" s="639"/>
      <c r="BA1" s="639"/>
      <c r="BB1" s="639"/>
      <c r="BC1" s="639"/>
      <c r="BD1" s="639"/>
      <c r="BE1" s="639"/>
      <c r="BF1" s="639"/>
      <c r="BG1" s="639"/>
      <c r="BH1" s="639"/>
      <c r="BI1" s="639"/>
      <c r="BJ1" s="639"/>
      <c r="BK1" s="639"/>
      <c r="BL1" s="639"/>
      <c r="BM1" s="639"/>
      <c r="BN1" s="639"/>
      <c r="BO1" s="639"/>
      <c r="BP1" s="639"/>
      <c r="BQ1" s="639"/>
      <c r="BR1" s="639"/>
      <c r="BS1" s="639"/>
      <c r="BT1" s="639"/>
      <c r="BU1" s="639"/>
      <c r="BV1" s="639"/>
      <c r="BW1" s="639"/>
      <c r="BX1" s="639"/>
      <c r="BY1" s="639"/>
      <c r="BZ1" s="639"/>
      <c r="CA1" s="639"/>
      <c r="CB1" s="639"/>
      <c r="CC1" s="639"/>
      <c r="CD1" s="639"/>
      <c r="CE1" s="639"/>
      <c r="CF1" s="639"/>
      <c r="CG1" s="639"/>
      <c r="CH1" s="639"/>
      <c r="CI1" s="639"/>
      <c r="CJ1" s="639"/>
      <c r="CK1" s="639"/>
      <c r="CL1" s="639"/>
    </row>
    <row r="2" spans="1:90" s="591" customFormat="1" ht="83.25" customHeight="1">
      <c r="A2" s="727" t="s">
        <v>222</v>
      </c>
      <c r="B2" s="614" t="s">
        <v>372</v>
      </c>
      <c r="C2" s="614" t="s">
        <v>230</v>
      </c>
      <c r="D2" s="979" t="s">
        <v>224</v>
      </c>
      <c r="E2" s="619" t="s">
        <v>990</v>
      </c>
      <c r="F2" s="619" t="s">
        <v>991</v>
      </c>
      <c r="G2" s="619" t="s">
        <v>992</v>
      </c>
      <c r="H2" s="619" t="s">
        <v>993</v>
      </c>
      <c r="I2" s="619" t="s">
        <v>994</v>
      </c>
      <c r="J2" s="619" t="s">
        <v>995</v>
      </c>
      <c r="K2" s="619" t="s">
        <v>996</v>
      </c>
      <c r="L2" s="620" t="s">
        <v>997</v>
      </c>
      <c r="M2" s="620" t="s">
        <v>998</v>
      </c>
      <c r="N2" s="620" t="s">
        <v>999</v>
      </c>
      <c r="O2" s="620" t="s">
        <v>1000</v>
      </c>
      <c r="P2" s="620" t="s">
        <v>1001</v>
      </c>
      <c r="Q2" s="620" t="s">
        <v>1002</v>
      </c>
      <c r="R2" s="620" t="s">
        <v>1003</v>
      </c>
      <c r="S2" s="620" t="s">
        <v>1004</v>
      </c>
      <c r="T2" s="620" t="s">
        <v>1005</v>
      </c>
      <c r="U2" s="620" t="s">
        <v>1006</v>
      </c>
      <c r="V2" s="614" t="s">
        <v>341</v>
      </c>
      <c r="W2" s="614" t="s">
        <v>342</v>
      </c>
      <c r="X2" s="981" t="s">
        <v>343</v>
      </c>
      <c r="Y2" s="640"/>
      <c r="Z2" s="640"/>
      <c r="AA2" s="640"/>
      <c r="AB2" s="640"/>
      <c r="AC2" s="640"/>
      <c r="AD2" s="640"/>
      <c r="AE2" s="640"/>
      <c r="AF2" s="640"/>
      <c r="AG2" s="640"/>
      <c r="AH2" s="640"/>
      <c r="AI2" s="640"/>
      <c r="AJ2" s="640"/>
      <c r="AK2" s="640"/>
      <c r="AL2" s="640"/>
      <c r="AM2" s="640"/>
      <c r="AN2" s="640"/>
      <c r="AO2" s="640"/>
      <c r="AP2" s="640"/>
      <c r="AQ2" s="640"/>
      <c r="AR2" s="640"/>
      <c r="AS2" s="640"/>
      <c r="AT2" s="640"/>
      <c r="AU2" s="640"/>
      <c r="AV2" s="640"/>
      <c r="AW2" s="640"/>
      <c r="AX2" s="640"/>
      <c r="AY2" s="640"/>
      <c r="AZ2" s="640"/>
      <c r="BA2" s="640"/>
      <c r="BB2" s="640"/>
      <c r="BC2" s="640"/>
      <c r="BD2" s="640"/>
      <c r="BE2" s="640"/>
      <c r="BF2" s="640"/>
      <c r="BG2" s="640"/>
      <c r="BH2" s="640"/>
      <c r="BI2" s="640"/>
      <c r="BJ2" s="640"/>
      <c r="BK2" s="640"/>
      <c r="BL2" s="640"/>
      <c r="BM2" s="640"/>
      <c r="BN2" s="640"/>
      <c r="BO2" s="640"/>
      <c r="BP2" s="640"/>
      <c r="BQ2" s="640"/>
      <c r="BR2" s="640"/>
      <c r="BS2" s="640"/>
      <c r="BT2" s="640"/>
      <c r="BU2" s="640"/>
      <c r="BV2" s="640"/>
      <c r="BW2" s="640"/>
      <c r="BX2" s="640"/>
      <c r="BY2" s="640"/>
      <c r="BZ2" s="640"/>
      <c r="CA2" s="640"/>
      <c r="CB2" s="640"/>
      <c r="CC2" s="640"/>
      <c r="CD2" s="640"/>
      <c r="CE2" s="640"/>
      <c r="CF2" s="640"/>
      <c r="CG2" s="640"/>
      <c r="CH2" s="640"/>
      <c r="CI2" s="640"/>
      <c r="CJ2" s="640"/>
      <c r="CK2" s="640"/>
      <c r="CL2" s="640"/>
    </row>
    <row r="3" spans="1:90" s="990" customFormat="1" ht="27" customHeight="1">
      <c r="A3" s="982">
        <v>7</v>
      </c>
      <c r="B3" s="983" t="s">
        <v>989</v>
      </c>
      <c r="C3" s="984"/>
      <c r="D3" s="1146" t="s">
        <v>2264</v>
      </c>
      <c r="E3" s="985"/>
      <c r="F3" s="985"/>
      <c r="G3" s="985"/>
      <c r="H3" s="985"/>
      <c r="I3" s="985"/>
      <c r="J3" s="985"/>
      <c r="K3" s="985"/>
      <c r="L3" s="985"/>
      <c r="M3" s="985"/>
      <c r="N3" s="985"/>
      <c r="O3" s="985"/>
      <c r="P3" s="985"/>
      <c r="Q3" s="985"/>
      <c r="R3" s="985"/>
      <c r="S3" s="985"/>
      <c r="T3" s="985"/>
      <c r="U3" s="985"/>
      <c r="V3" s="985"/>
      <c r="W3" s="985"/>
      <c r="X3" s="996">
        <f>X4+X21+X29+X36+X49+X51</f>
        <v>0</v>
      </c>
      <c r="Y3" s="986"/>
      <c r="Z3" s="987"/>
      <c r="AA3" s="987"/>
      <c r="AB3" s="987"/>
      <c r="AC3" s="987"/>
      <c r="AD3" s="987"/>
      <c r="AE3" s="987"/>
      <c r="AF3" s="987"/>
      <c r="AG3" s="987"/>
      <c r="AH3" s="987"/>
      <c r="AI3" s="987"/>
      <c r="AJ3" s="987"/>
      <c r="AK3" s="987"/>
      <c r="AL3" s="987"/>
      <c r="AM3" s="987"/>
      <c r="AN3" s="987"/>
      <c r="AO3" s="987"/>
      <c r="AP3" s="988"/>
      <c r="AQ3" s="989"/>
      <c r="AR3" s="989"/>
      <c r="AS3" s="989"/>
      <c r="AT3" s="989"/>
      <c r="AU3" s="989"/>
      <c r="AV3" s="989"/>
      <c r="AW3" s="989"/>
      <c r="AX3" s="989"/>
      <c r="AY3" s="989"/>
      <c r="AZ3" s="989"/>
      <c r="BA3" s="989"/>
      <c r="BB3" s="989"/>
      <c r="BC3" s="989"/>
      <c r="BD3" s="989"/>
      <c r="BE3" s="989"/>
      <c r="BF3" s="989"/>
      <c r="BG3" s="989"/>
      <c r="BH3" s="989"/>
      <c r="BI3" s="989"/>
      <c r="BJ3" s="989"/>
      <c r="BK3" s="989"/>
      <c r="BL3" s="989"/>
      <c r="BM3" s="989"/>
      <c r="BN3" s="989"/>
      <c r="BO3" s="989"/>
      <c r="BP3" s="989"/>
      <c r="BQ3" s="989"/>
      <c r="BR3" s="989"/>
      <c r="BS3" s="989"/>
      <c r="BT3" s="989"/>
      <c r="BU3" s="989"/>
      <c r="BV3" s="989"/>
      <c r="BW3" s="989"/>
      <c r="BX3" s="989"/>
      <c r="BY3" s="989"/>
      <c r="BZ3" s="989"/>
      <c r="CA3" s="989"/>
      <c r="CB3" s="989"/>
      <c r="CC3" s="989"/>
      <c r="CD3" s="989"/>
      <c r="CE3" s="989"/>
      <c r="CF3" s="989"/>
      <c r="CG3" s="989"/>
      <c r="CH3" s="989"/>
      <c r="CI3" s="989"/>
      <c r="CJ3" s="989"/>
      <c r="CK3" s="989"/>
      <c r="CL3" s="989"/>
    </row>
    <row r="4" spans="1:90" s="592" customFormat="1" ht="16.5" customHeight="1">
      <c r="A4" s="735" t="s">
        <v>2133</v>
      </c>
      <c r="B4" s="736" t="s">
        <v>9</v>
      </c>
      <c r="C4" s="744"/>
      <c r="D4" s="733"/>
      <c r="E4" s="721"/>
      <c r="F4" s="721"/>
      <c r="G4" s="721"/>
      <c r="H4" s="994"/>
      <c r="I4" s="994"/>
      <c r="J4" s="994"/>
      <c r="K4" s="994"/>
      <c r="L4" s="994"/>
      <c r="M4" s="994"/>
      <c r="N4" s="994"/>
      <c r="O4" s="994"/>
      <c r="P4" s="994"/>
      <c r="Q4" s="994"/>
      <c r="R4" s="994"/>
      <c r="S4" s="994"/>
      <c r="T4" s="994"/>
      <c r="U4" s="994"/>
      <c r="V4" s="778"/>
      <c r="W4" s="722"/>
      <c r="X4" s="998">
        <f>SUM(X10:X20)</f>
        <v>0</v>
      </c>
      <c r="Y4" s="662"/>
      <c r="Z4" s="662"/>
      <c r="AA4" s="662"/>
      <c r="AB4" s="662"/>
      <c r="AC4" s="662"/>
      <c r="AD4" s="662"/>
      <c r="AE4" s="662"/>
      <c r="AF4" s="662"/>
      <c r="AG4" s="662"/>
      <c r="AH4" s="662"/>
      <c r="AI4" s="662"/>
      <c r="AJ4" s="662"/>
      <c r="AK4" s="662"/>
      <c r="AL4" s="662"/>
      <c r="AM4" s="662"/>
      <c r="AN4" s="662"/>
      <c r="AO4" s="662"/>
      <c r="AP4" s="662"/>
      <c r="AQ4" s="662"/>
      <c r="AR4" s="662"/>
      <c r="AS4" s="662"/>
      <c r="AT4" s="662"/>
      <c r="AU4" s="662"/>
      <c r="AV4" s="662"/>
      <c r="AW4" s="662"/>
      <c r="AX4" s="662"/>
      <c r="AY4" s="662"/>
      <c r="AZ4" s="662"/>
      <c r="BA4" s="662"/>
      <c r="BB4" s="662"/>
      <c r="BC4" s="662"/>
      <c r="BD4" s="662"/>
      <c r="BE4" s="662"/>
      <c r="BF4" s="662"/>
      <c r="BG4" s="662"/>
      <c r="BH4" s="662"/>
      <c r="BI4" s="662"/>
      <c r="BJ4" s="662"/>
      <c r="BK4" s="662"/>
      <c r="BL4" s="662"/>
      <c r="BM4" s="662"/>
      <c r="BN4" s="662"/>
      <c r="BO4" s="662"/>
      <c r="BP4" s="662"/>
      <c r="BQ4" s="662"/>
      <c r="BR4" s="662"/>
      <c r="BS4" s="662"/>
      <c r="BT4" s="662"/>
      <c r="BU4" s="662"/>
      <c r="BV4" s="662"/>
      <c r="BW4" s="662"/>
      <c r="BX4" s="662"/>
      <c r="BY4" s="662"/>
      <c r="BZ4" s="662"/>
      <c r="CA4" s="662"/>
      <c r="CB4" s="662"/>
      <c r="CC4" s="662"/>
      <c r="CD4" s="662"/>
      <c r="CE4" s="662"/>
      <c r="CF4" s="662"/>
      <c r="CG4" s="662"/>
      <c r="CH4" s="662"/>
      <c r="CI4" s="662"/>
      <c r="CJ4" s="662"/>
      <c r="CK4" s="662"/>
      <c r="CL4" s="662"/>
    </row>
    <row r="5" spans="1:90">
      <c r="A5" s="1019" t="s">
        <v>2829</v>
      </c>
      <c r="B5" s="761" t="s">
        <v>2335</v>
      </c>
      <c r="C5" s="1477" t="str">
        <f>'1. KOLEKTORI'!C6</f>
        <v>2.2.2.</v>
      </c>
      <c r="D5" s="791" t="s">
        <v>18</v>
      </c>
      <c r="E5" s="991">
        <v>1</v>
      </c>
      <c r="F5" s="991">
        <v>1</v>
      </c>
      <c r="G5" s="991">
        <v>1</v>
      </c>
      <c r="H5" s="991">
        <v>1</v>
      </c>
      <c r="I5" s="991">
        <v>1</v>
      </c>
      <c r="J5" s="991">
        <v>1</v>
      </c>
      <c r="K5" s="991">
        <v>1</v>
      </c>
      <c r="L5" s="693">
        <v>1</v>
      </c>
      <c r="M5" s="694">
        <v>1</v>
      </c>
      <c r="N5" s="992">
        <v>1</v>
      </c>
      <c r="O5" s="992">
        <v>1</v>
      </c>
      <c r="P5" s="993">
        <v>1</v>
      </c>
      <c r="Q5" s="993">
        <v>1</v>
      </c>
      <c r="R5" s="993">
        <v>1</v>
      </c>
      <c r="S5" s="993">
        <v>1</v>
      </c>
      <c r="T5" s="993">
        <v>1</v>
      </c>
      <c r="U5" s="993">
        <v>1</v>
      </c>
      <c r="V5" s="622">
        <f t="shared" ref="V5" si="0">SUM(E5:U5)</f>
        <v>17</v>
      </c>
      <c r="W5" s="767"/>
      <c r="X5" s="997">
        <f t="shared" ref="X5" si="1">V5*W5</f>
        <v>0</v>
      </c>
    </row>
    <row r="6" spans="1:90">
      <c r="A6" s="1407" t="s">
        <v>2134</v>
      </c>
      <c r="B6" s="761" t="s">
        <v>2336</v>
      </c>
      <c r="C6" s="1477" t="str">
        <f>'1. KOLEKTORI'!C11</f>
        <v>2.2.5.</v>
      </c>
      <c r="D6" s="791"/>
      <c r="E6" s="991"/>
      <c r="F6" s="991"/>
      <c r="G6" s="991"/>
      <c r="H6" s="991"/>
      <c r="I6" s="991"/>
      <c r="J6" s="991"/>
      <c r="K6" s="991"/>
      <c r="L6" s="693"/>
      <c r="M6" s="694"/>
      <c r="N6" s="992"/>
      <c r="O6" s="992"/>
      <c r="P6" s="993"/>
      <c r="Q6" s="993"/>
      <c r="R6" s="993"/>
      <c r="S6" s="993"/>
      <c r="T6" s="993"/>
      <c r="U6" s="993"/>
      <c r="V6" s="622">
        <f t="shared" ref="V6:V9" si="2">SUM(E6:U6)</f>
        <v>0</v>
      </c>
      <c r="W6" s="767"/>
      <c r="X6" s="997">
        <f t="shared" ref="X6:X9" si="3">V6*W6</f>
        <v>0</v>
      </c>
    </row>
    <row r="7" spans="1:90" ht="18" customHeight="1">
      <c r="A7" s="1407" t="s">
        <v>2135</v>
      </c>
      <c r="B7" s="761" t="s">
        <v>2341</v>
      </c>
      <c r="C7" s="1477" t="str">
        <f>'1. KOLEKTORI'!C12</f>
        <v>2.2.6.</v>
      </c>
      <c r="D7" s="791"/>
      <c r="E7" s="991"/>
      <c r="F7" s="991"/>
      <c r="G7" s="991"/>
      <c r="H7" s="991"/>
      <c r="I7" s="991"/>
      <c r="J7" s="991"/>
      <c r="K7" s="991"/>
      <c r="L7" s="693"/>
      <c r="M7" s="694"/>
      <c r="N7" s="992"/>
      <c r="O7" s="992"/>
      <c r="P7" s="993"/>
      <c r="Q7" s="993"/>
      <c r="R7" s="993"/>
      <c r="S7" s="993"/>
      <c r="T7" s="993"/>
      <c r="U7" s="993"/>
      <c r="V7" s="622">
        <f t="shared" si="2"/>
        <v>0</v>
      </c>
      <c r="W7" s="767"/>
      <c r="X7" s="997">
        <f t="shared" si="3"/>
        <v>0</v>
      </c>
    </row>
    <row r="8" spans="1:90">
      <c r="A8" s="1407" t="s">
        <v>2136</v>
      </c>
      <c r="B8" s="761" t="s">
        <v>2342</v>
      </c>
      <c r="C8" s="1477" t="str">
        <f>'1. KOLEKTORI'!C8</f>
        <v>2.2.2.</v>
      </c>
      <c r="D8" s="791"/>
      <c r="E8" s="991"/>
      <c r="F8" s="991"/>
      <c r="G8" s="991"/>
      <c r="H8" s="991"/>
      <c r="I8" s="991"/>
      <c r="J8" s="991"/>
      <c r="K8" s="991"/>
      <c r="L8" s="693"/>
      <c r="M8" s="694"/>
      <c r="N8" s="992"/>
      <c r="O8" s="992"/>
      <c r="P8" s="993"/>
      <c r="Q8" s="993"/>
      <c r="R8" s="993"/>
      <c r="S8" s="993"/>
      <c r="T8" s="993"/>
      <c r="U8" s="993"/>
      <c r="V8" s="622">
        <f t="shared" si="2"/>
        <v>0</v>
      </c>
      <c r="W8" s="767"/>
      <c r="X8" s="997">
        <f t="shared" si="3"/>
        <v>0</v>
      </c>
    </row>
    <row r="9" spans="1:90">
      <c r="A9" s="1407" t="s">
        <v>2137</v>
      </c>
      <c r="B9" s="761" t="s">
        <v>669</v>
      </c>
      <c r="C9" s="1477" t="str">
        <f>'1. KOLEKTORI'!C10</f>
        <v>1.9.2./2.2.4</v>
      </c>
      <c r="D9" s="791"/>
      <c r="E9" s="991"/>
      <c r="F9" s="991"/>
      <c r="G9" s="991"/>
      <c r="H9" s="991"/>
      <c r="I9" s="991"/>
      <c r="J9" s="991"/>
      <c r="K9" s="991"/>
      <c r="L9" s="693"/>
      <c r="M9" s="694"/>
      <c r="N9" s="992"/>
      <c r="O9" s="992"/>
      <c r="P9" s="993"/>
      <c r="Q9" s="993"/>
      <c r="R9" s="993"/>
      <c r="S9" s="993"/>
      <c r="T9" s="993"/>
      <c r="U9" s="993"/>
      <c r="V9" s="622">
        <f t="shared" si="2"/>
        <v>0</v>
      </c>
      <c r="W9" s="767"/>
      <c r="X9" s="997">
        <f t="shared" si="3"/>
        <v>0</v>
      </c>
    </row>
    <row r="10" spans="1:90">
      <c r="A10" s="1407" t="s">
        <v>2138</v>
      </c>
      <c r="B10" s="761" t="s">
        <v>1071</v>
      </c>
      <c r="C10" s="1021" t="s">
        <v>365</v>
      </c>
      <c r="D10" s="791" t="s">
        <v>18</v>
      </c>
      <c r="E10" s="991">
        <v>1</v>
      </c>
      <c r="F10" s="991">
        <v>1</v>
      </c>
      <c r="G10" s="991">
        <v>1</v>
      </c>
      <c r="H10" s="991">
        <v>1</v>
      </c>
      <c r="I10" s="991">
        <v>1</v>
      </c>
      <c r="J10" s="991">
        <v>1</v>
      </c>
      <c r="K10" s="991">
        <v>1</v>
      </c>
      <c r="L10" s="693">
        <v>1</v>
      </c>
      <c r="M10" s="694">
        <v>1</v>
      </c>
      <c r="N10" s="992">
        <v>1</v>
      </c>
      <c r="O10" s="992">
        <v>1</v>
      </c>
      <c r="P10" s="993">
        <v>1</v>
      </c>
      <c r="Q10" s="993">
        <v>1</v>
      </c>
      <c r="R10" s="993">
        <v>1</v>
      </c>
      <c r="S10" s="993">
        <v>1</v>
      </c>
      <c r="T10" s="993">
        <v>1</v>
      </c>
      <c r="U10" s="993">
        <v>1</v>
      </c>
      <c r="V10" s="622">
        <f t="shared" ref="V10:V56" si="4">SUM(E10:U10)</f>
        <v>17</v>
      </c>
      <c r="W10" s="767"/>
      <c r="X10" s="997">
        <f t="shared" ref="X10:X56" si="5">V10*W10</f>
        <v>0</v>
      </c>
    </row>
    <row r="11" spans="1:90">
      <c r="A11" s="1407" t="s">
        <v>2830</v>
      </c>
      <c r="B11" s="761" t="s">
        <v>1007</v>
      </c>
      <c r="C11" s="1022" t="s">
        <v>408</v>
      </c>
      <c r="D11" s="1022"/>
      <c r="E11" s="695"/>
      <c r="F11" s="695"/>
      <c r="G11" s="695"/>
      <c r="H11" s="992"/>
      <c r="I11" s="992"/>
      <c r="J11" s="992"/>
      <c r="K11" s="992"/>
      <c r="L11" s="992"/>
      <c r="M11" s="992"/>
      <c r="N11" s="992"/>
      <c r="O11" s="992"/>
      <c r="P11" s="992"/>
      <c r="Q11" s="992"/>
      <c r="R11" s="992"/>
      <c r="S11" s="992"/>
      <c r="T11" s="992"/>
      <c r="U11" s="992"/>
      <c r="V11" s="622"/>
      <c r="W11" s="997"/>
      <c r="X11" s="997"/>
    </row>
    <row r="12" spans="1:90">
      <c r="A12" s="1010" t="s">
        <v>2831</v>
      </c>
      <c r="B12" s="1008" t="s">
        <v>1072</v>
      </c>
      <c r="C12" s="1009"/>
      <c r="D12" s="1009" t="s">
        <v>18</v>
      </c>
      <c r="E12" s="765">
        <v>1</v>
      </c>
      <c r="F12" s="765">
        <v>1</v>
      </c>
      <c r="G12" s="765">
        <v>1</v>
      </c>
      <c r="H12" s="995">
        <v>1</v>
      </c>
      <c r="I12" s="995">
        <v>1</v>
      </c>
      <c r="J12" s="995">
        <v>1</v>
      </c>
      <c r="K12" s="995">
        <v>1</v>
      </c>
      <c r="L12" s="995">
        <v>1</v>
      </c>
      <c r="M12" s="995">
        <v>1</v>
      </c>
      <c r="N12" s="995">
        <v>1</v>
      </c>
      <c r="O12" s="995">
        <v>1</v>
      </c>
      <c r="P12" s="995">
        <v>1</v>
      </c>
      <c r="Q12" s="995">
        <v>1</v>
      </c>
      <c r="R12" s="995">
        <v>1</v>
      </c>
      <c r="S12" s="995">
        <v>1</v>
      </c>
      <c r="T12" s="995">
        <v>1</v>
      </c>
      <c r="U12" s="995">
        <v>1</v>
      </c>
      <c r="V12" s="622">
        <f t="shared" si="4"/>
        <v>17</v>
      </c>
      <c r="W12" s="768"/>
      <c r="X12" s="997">
        <f t="shared" si="5"/>
        <v>0</v>
      </c>
    </row>
    <row r="13" spans="1:90">
      <c r="A13" s="1405" t="s">
        <v>2832</v>
      </c>
      <c r="B13" s="1008" t="s">
        <v>1010</v>
      </c>
      <c r="C13" s="1009"/>
      <c r="D13" s="1009" t="s">
        <v>18</v>
      </c>
      <c r="E13" s="765">
        <v>1</v>
      </c>
      <c r="F13" s="765">
        <v>1</v>
      </c>
      <c r="G13" s="765">
        <v>1</v>
      </c>
      <c r="H13" s="995">
        <v>1</v>
      </c>
      <c r="I13" s="995">
        <v>1</v>
      </c>
      <c r="J13" s="995">
        <v>1</v>
      </c>
      <c r="K13" s="995">
        <v>1</v>
      </c>
      <c r="L13" s="995">
        <v>1</v>
      </c>
      <c r="M13" s="995">
        <v>1</v>
      </c>
      <c r="N13" s="995">
        <v>1</v>
      </c>
      <c r="O13" s="995">
        <v>1</v>
      </c>
      <c r="P13" s="995">
        <v>1</v>
      </c>
      <c r="Q13" s="995">
        <v>1</v>
      </c>
      <c r="R13" s="995">
        <v>1</v>
      </c>
      <c r="S13" s="995">
        <v>1</v>
      </c>
      <c r="T13" s="995">
        <v>1</v>
      </c>
      <c r="U13" s="995">
        <v>1</v>
      </c>
      <c r="V13" s="622">
        <f t="shared" si="4"/>
        <v>17</v>
      </c>
      <c r="W13" s="768"/>
      <c r="X13" s="997">
        <f t="shared" si="5"/>
        <v>0</v>
      </c>
    </row>
    <row r="14" spans="1:90">
      <c r="A14" s="1405" t="s">
        <v>2833</v>
      </c>
      <c r="B14" s="1008" t="s">
        <v>1073</v>
      </c>
      <c r="C14" s="1009"/>
      <c r="D14" s="1009" t="s">
        <v>18</v>
      </c>
      <c r="E14" s="765">
        <v>1</v>
      </c>
      <c r="F14" s="765">
        <v>1</v>
      </c>
      <c r="G14" s="765">
        <v>1</v>
      </c>
      <c r="H14" s="995">
        <v>1</v>
      </c>
      <c r="I14" s="995">
        <v>1</v>
      </c>
      <c r="J14" s="995">
        <v>1</v>
      </c>
      <c r="K14" s="995">
        <v>1</v>
      </c>
      <c r="L14" s="995">
        <v>1</v>
      </c>
      <c r="M14" s="995">
        <v>1</v>
      </c>
      <c r="N14" s="995">
        <v>1</v>
      </c>
      <c r="O14" s="995">
        <v>1</v>
      </c>
      <c r="P14" s="995">
        <v>1</v>
      </c>
      <c r="Q14" s="995">
        <v>1</v>
      </c>
      <c r="R14" s="995">
        <v>1</v>
      </c>
      <c r="S14" s="995">
        <v>1</v>
      </c>
      <c r="T14" s="995">
        <v>1</v>
      </c>
      <c r="U14" s="995">
        <v>1</v>
      </c>
      <c r="V14" s="622">
        <f t="shared" si="4"/>
        <v>17</v>
      </c>
      <c r="W14" s="768"/>
      <c r="X14" s="997">
        <f t="shared" si="5"/>
        <v>0</v>
      </c>
    </row>
    <row r="15" spans="1:90">
      <c r="A15" s="1405" t="s">
        <v>2834</v>
      </c>
      <c r="B15" s="1008" t="s">
        <v>1074</v>
      </c>
      <c r="C15" s="1009"/>
      <c r="D15" s="1009" t="s">
        <v>18</v>
      </c>
      <c r="E15" s="765">
        <v>1</v>
      </c>
      <c r="F15" s="765">
        <v>1</v>
      </c>
      <c r="G15" s="765">
        <v>1</v>
      </c>
      <c r="H15" s="995">
        <v>1</v>
      </c>
      <c r="I15" s="995">
        <v>1</v>
      </c>
      <c r="J15" s="995">
        <v>1</v>
      </c>
      <c r="K15" s="995">
        <v>1</v>
      </c>
      <c r="L15" s="995">
        <v>1</v>
      </c>
      <c r="M15" s="995">
        <v>1</v>
      </c>
      <c r="N15" s="995">
        <v>1</v>
      </c>
      <c r="O15" s="995">
        <v>1</v>
      </c>
      <c r="P15" s="995">
        <v>1</v>
      </c>
      <c r="Q15" s="995">
        <v>1</v>
      </c>
      <c r="R15" s="995">
        <v>1</v>
      </c>
      <c r="S15" s="995">
        <v>1</v>
      </c>
      <c r="T15" s="995">
        <v>1</v>
      </c>
      <c r="U15" s="995">
        <v>1</v>
      </c>
      <c r="V15" s="622">
        <f t="shared" si="4"/>
        <v>17</v>
      </c>
      <c r="W15" s="768"/>
      <c r="X15" s="997">
        <f t="shared" si="5"/>
        <v>0</v>
      </c>
    </row>
    <row r="16" spans="1:90">
      <c r="A16" s="1019" t="s">
        <v>2835</v>
      </c>
      <c r="B16" s="761" t="s">
        <v>1012</v>
      </c>
      <c r="C16" s="1020" t="s">
        <v>1014</v>
      </c>
      <c r="D16" s="1020" t="s">
        <v>18</v>
      </c>
      <c r="E16" s="765">
        <v>1</v>
      </c>
      <c r="F16" s="765">
        <v>1</v>
      </c>
      <c r="G16" s="765">
        <v>1</v>
      </c>
      <c r="H16" s="995">
        <v>1</v>
      </c>
      <c r="I16" s="995">
        <v>1</v>
      </c>
      <c r="J16" s="995">
        <v>1</v>
      </c>
      <c r="K16" s="995">
        <v>1</v>
      </c>
      <c r="L16" s="995">
        <v>1</v>
      </c>
      <c r="M16" s="995">
        <v>1</v>
      </c>
      <c r="N16" s="995">
        <v>1</v>
      </c>
      <c r="O16" s="995">
        <v>1</v>
      </c>
      <c r="P16" s="995">
        <v>1</v>
      </c>
      <c r="Q16" s="995">
        <v>1</v>
      </c>
      <c r="R16" s="995">
        <v>1</v>
      </c>
      <c r="S16" s="995">
        <v>1</v>
      </c>
      <c r="T16" s="995">
        <v>1</v>
      </c>
      <c r="U16" s="995">
        <v>1</v>
      </c>
      <c r="V16" s="622">
        <f t="shared" si="4"/>
        <v>17</v>
      </c>
      <c r="W16" s="768"/>
      <c r="X16" s="997">
        <f t="shared" si="5"/>
        <v>0</v>
      </c>
    </row>
    <row r="17" spans="1:90" s="1338" customFormat="1">
      <c r="A17" s="1407" t="s">
        <v>2836</v>
      </c>
      <c r="B17" s="1358" t="str">
        <f>'1. KOLEKTORI'!B28</f>
        <v>Probni rovovi na mjestima postojećih instalacija</v>
      </c>
      <c r="C17" s="1408" t="str">
        <f>'1. KOLEKTORI'!C28</f>
        <v>2.3.8.</v>
      </c>
      <c r="D17" s="1408" t="s">
        <v>236</v>
      </c>
      <c r="E17" s="1359">
        <v>2</v>
      </c>
      <c r="F17" s="1359">
        <v>2</v>
      </c>
      <c r="G17" s="1359">
        <v>2</v>
      </c>
      <c r="H17" s="1402">
        <v>2</v>
      </c>
      <c r="I17" s="1402">
        <v>2</v>
      </c>
      <c r="J17" s="1402">
        <v>2</v>
      </c>
      <c r="K17" s="1402">
        <v>2</v>
      </c>
      <c r="L17" s="1402">
        <v>2</v>
      </c>
      <c r="M17" s="1402">
        <v>2</v>
      </c>
      <c r="N17" s="1402">
        <v>2</v>
      </c>
      <c r="O17" s="1402">
        <v>2</v>
      </c>
      <c r="P17" s="1402">
        <v>2</v>
      </c>
      <c r="Q17" s="1402">
        <v>2</v>
      </c>
      <c r="R17" s="1402">
        <v>2</v>
      </c>
      <c r="S17" s="1402">
        <v>2</v>
      </c>
      <c r="T17" s="1402">
        <v>2</v>
      </c>
      <c r="U17" s="1402">
        <v>2</v>
      </c>
      <c r="V17" s="1342">
        <f t="shared" si="4"/>
        <v>34</v>
      </c>
      <c r="W17" s="1361"/>
      <c r="X17" s="1403">
        <f t="shared" si="5"/>
        <v>0</v>
      </c>
      <c r="Y17" s="1343"/>
      <c r="Z17" s="1343"/>
      <c r="AA17" s="1343"/>
      <c r="AB17" s="1343"/>
      <c r="AC17" s="1343"/>
      <c r="AD17" s="1343"/>
      <c r="AE17" s="1343"/>
      <c r="AF17" s="1343"/>
      <c r="AG17" s="1343"/>
      <c r="AH17" s="1343"/>
      <c r="AI17" s="1343"/>
      <c r="AJ17" s="1343"/>
      <c r="AK17" s="1343"/>
      <c r="AL17" s="1343"/>
      <c r="AM17" s="1343"/>
      <c r="AN17" s="1343"/>
      <c r="AO17" s="1343"/>
      <c r="AP17" s="1343"/>
      <c r="AQ17" s="1343"/>
      <c r="AR17" s="1343"/>
      <c r="AS17" s="1343"/>
      <c r="AT17" s="1343"/>
      <c r="AU17" s="1343"/>
      <c r="AV17" s="1343"/>
      <c r="AW17" s="1343"/>
      <c r="AX17" s="1343"/>
      <c r="AY17" s="1343"/>
      <c r="AZ17" s="1343"/>
      <c r="BA17" s="1343"/>
      <c r="BB17" s="1343"/>
      <c r="BC17" s="1343"/>
      <c r="BD17" s="1343"/>
      <c r="BE17" s="1343"/>
      <c r="BF17" s="1343"/>
      <c r="BG17" s="1343"/>
      <c r="BH17" s="1343"/>
      <c r="BI17" s="1343"/>
      <c r="BJ17" s="1343"/>
      <c r="BK17" s="1343"/>
      <c r="BL17" s="1343"/>
      <c r="BM17" s="1343"/>
      <c r="BN17" s="1343"/>
      <c r="BO17" s="1343"/>
      <c r="BP17" s="1343"/>
      <c r="BQ17" s="1343"/>
      <c r="BR17" s="1343"/>
      <c r="BS17" s="1343"/>
      <c r="BT17" s="1343"/>
      <c r="BU17" s="1343"/>
      <c r="BV17" s="1343"/>
      <c r="BW17" s="1343"/>
      <c r="BX17" s="1343"/>
      <c r="BY17" s="1343"/>
      <c r="BZ17" s="1343"/>
      <c r="CA17" s="1343"/>
      <c r="CB17" s="1343"/>
      <c r="CC17" s="1343"/>
      <c r="CD17" s="1343"/>
      <c r="CE17" s="1343"/>
      <c r="CF17" s="1343"/>
      <c r="CG17" s="1343"/>
      <c r="CH17" s="1343"/>
      <c r="CI17" s="1343"/>
      <c r="CJ17" s="1343"/>
      <c r="CK17" s="1343"/>
      <c r="CL17" s="1343"/>
    </row>
    <row r="18" spans="1:90">
      <c r="A18" s="1407" t="s">
        <v>2837</v>
      </c>
      <c r="B18" s="761" t="s">
        <v>539</v>
      </c>
      <c r="C18" s="1020" t="s">
        <v>386</v>
      </c>
      <c r="D18" s="1020"/>
      <c r="E18" s="765"/>
      <c r="F18" s="765"/>
      <c r="G18" s="765"/>
      <c r="H18" s="995"/>
      <c r="I18" s="995"/>
      <c r="J18" s="995"/>
      <c r="K18" s="995"/>
      <c r="L18" s="995"/>
      <c r="M18" s="995"/>
      <c r="N18" s="995"/>
      <c r="O18" s="995"/>
      <c r="P18" s="995"/>
      <c r="Q18" s="995"/>
      <c r="R18" s="995"/>
      <c r="S18" s="995"/>
      <c r="T18" s="995"/>
      <c r="U18" s="995"/>
      <c r="V18" s="622"/>
      <c r="W18" s="710"/>
      <c r="X18" s="997"/>
    </row>
    <row r="19" spans="1:90">
      <c r="A19" s="1010" t="s">
        <v>2838</v>
      </c>
      <c r="B19" s="1008" t="s">
        <v>560</v>
      </c>
      <c r="C19" s="1009"/>
      <c r="D19" s="1009" t="s">
        <v>234</v>
      </c>
      <c r="E19" s="765"/>
      <c r="F19" s="765"/>
      <c r="G19" s="765"/>
      <c r="H19" s="995">
        <v>1</v>
      </c>
      <c r="I19" s="995"/>
      <c r="J19" s="995">
        <v>1</v>
      </c>
      <c r="K19" s="995">
        <v>1</v>
      </c>
      <c r="L19" s="995"/>
      <c r="M19" s="995"/>
      <c r="N19" s="995"/>
      <c r="O19" s="995">
        <v>1</v>
      </c>
      <c r="P19" s="995"/>
      <c r="Q19" s="995"/>
      <c r="R19" s="995">
        <v>20</v>
      </c>
      <c r="S19" s="995">
        <v>1</v>
      </c>
      <c r="T19" s="995"/>
      <c r="U19" s="995">
        <v>20</v>
      </c>
      <c r="V19" s="622">
        <f t="shared" si="4"/>
        <v>45</v>
      </c>
      <c r="W19" s="768"/>
      <c r="X19" s="997">
        <f t="shared" si="5"/>
        <v>0</v>
      </c>
    </row>
    <row r="20" spans="1:90">
      <c r="A20" s="1405" t="s">
        <v>2839</v>
      </c>
      <c r="B20" s="1008" t="s">
        <v>1008</v>
      </c>
      <c r="C20" s="1009"/>
      <c r="D20" s="1009" t="s">
        <v>18</v>
      </c>
      <c r="E20" s="765"/>
      <c r="F20" s="765"/>
      <c r="G20" s="765"/>
      <c r="H20" s="995">
        <v>1</v>
      </c>
      <c r="I20" s="995"/>
      <c r="J20" s="995">
        <v>1</v>
      </c>
      <c r="K20" s="995">
        <v>1</v>
      </c>
      <c r="L20" s="995"/>
      <c r="M20" s="995"/>
      <c r="N20" s="995"/>
      <c r="O20" s="995">
        <v>1</v>
      </c>
      <c r="P20" s="995"/>
      <c r="Q20" s="995"/>
      <c r="R20" s="995">
        <v>1</v>
      </c>
      <c r="S20" s="995"/>
      <c r="T20" s="995"/>
      <c r="U20" s="995"/>
      <c r="V20" s="622">
        <f t="shared" si="4"/>
        <v>5</v>
      </c>
      <c r="W20" s="768"/>
      <c r="X20" s="997">
        <f t="shared" si="5"/>
        <v>0</v>
      </c>
    </row>
    <row r="21" spans="1:90" s="592" customFormat="1">
      <c r="A21" s="735" t="s">
        <v>2139</v>
      </c>
      <c r="B21" s="736" t="s">
        <v>23</v>
      </c>
      <c r="C21" s="980"/>
      <c r="D21" s="733"/>
      <c r="E21" s="721"/>
      <c r="F21" s="721"/>
      <c r="G21" s="721"/>
      <c r="H21" s="994"/>
      <c r="I21" s="994"/>
      <c r="J21" s="994"/>
      <c r="K21" s="994"/>
      <c r="L21" s="994"/>
      <c r="M21" s="994"/>
      <c r="N21" s="994"/>
      <c r="O21" s="994"/>
      <c r="P21" s="994"/>
      <c r="Q21" s="994"/>
      <c r="R21" s="994"/>
      <c r="S21" s="994"/>
      <c r="T21" s="994"/>
      <c r="U21" s="994"/>
      <c r="V21" s="778"/>
      <c r="W21" s="722"/>
      <c r="X21" s="998">
        <f>SUM(X22:X28)</f>
        <v>0</v>
      </c>
      <c r="Y21" s="662"/>
      <c r="Z21" s="662"/>
      <c r="AA21" s="662"/>
      <c r="AB21" s="662"/>
      <c r="AC21" s="662"/>
      <c r="AD21" s="662"/>
      <c r="AE21" s="662"/>
      <c r="AF21" s="662"/>
      <c r="AG21" s="662"/>
      <c r="AH21" s="662"/>
      <c r="AI21" s="662"/>
      <c r="AJ21" s="662"/>
      <c r="AK21" s="662"/>
      <c r="AL21" s="662"/>
      <c r="AM21" s="662"/>
      <c r="AN21" s="662"/>
      <c r="AO21" s="662"/>
      <c r="AP21" s="662"/>
      <c r="AQ21" s="662"/>
      <c r="AR21" s="662"/>
      <c r="AS21" s="662"/>
      <c r="AT21" s="662"/>
      <c r="AU21" s="662"/>
      <c r="AV21" s="662"/>
      <c r="AW21" s="662"/>
      <c r="AX21" s="662"/>
      <c r="AY21" s="662"/>
      <c r="AZ21" s="662"/>
      <c r="BA21" s="662"/>
      <c r="BB21" s="662"/>
      <c r="BC21" s="662"/>
      <c r="BD21" s="662"/>
      <c r="BE21" s="662"/>
      <c r="BF21" s="662"/>
      <c r="BG21" s="662"/>
      <c r="BH21" s="662"/>
      <c r="BI21" s="662"/>
      <c r="BJ21" s="662"/>
      <c r="BK21" s="662"/>
      <c r="BL21" s="662"/>
      <c r="BM21" s="662"/>
      <c r="BN21" s="662"/>
      <c r="BO21" s="662"/>
      <c r="BP21" s="662"/>
      <c r="BQ21" s="662"/>
      <c r="BR21" s="662"/>
      <c r="BS21" s="662"/>
      <c r="BT21" s="662"/>
      <c r="BU21" s="662"/>
      <c r="BV21" s="662"/>
      <c r="BW21" s="662"/>
      <c r="BX21" s="662"/>
      <c r="BY21" s="662"/>
      <c r="BZ21" s="662"/>
      <c r="CA21" s="662"/>
      <c r="CB21" s="662"/>
      <c r="CC21" s="662"/>
      <c r="CD21" s="662"/>
      <c r="CE21" s="662"/>
      <c r="CF21" s="662"/>
      <c r="CG21" s="662"/>
      <c r="CH21" s="662"/>
      <c r="CI21" s="662"/>
      <c r="CJ21" s="662"/>
      <c r="CK21" s="662"/>
      <c r="CL21" s="662"/>
    </row>
    <row r="22" spans="1:90">
      <c r="A22" s="1019" t="s">
        <v>2140</v>
      </c>
      <c r="B22" s="1023" t="s">
        <v>387</v>
      </c>
      <c r="C22" s="1024" t="s">
        <v>411</v>
      </c>
      <c r="D22" s="1021" t="s">
        <v>236</v>
      </c>
      <c r="E22" s="695">
        <v>65</v>
      </c>
      <c r="F22" s="695">
        <v>48</v>
      </c>
      <c r="G22" s="695">
        <v>52</v>
      </c>
      <c r="H22" s="992">
        <v>50</v>
      </c>
      <c r="I22" s="992">
        <v>105</v>
      </c>
      <c r="J22" s="992">
        <v>51</v>
      </c>
      <c r="K22" s="992">
        <v>76</v>
      </c>
      <c r="L22" s="992">
        <v>47</v>
      </c>
      <c r="M22" s="992">
        <v>92</v>
      </c>
      <c r="N22" s="992">
        <v>48</v>
      </c>
      <c r="O22" s="992">
        <v>48</v>
      </c>
      <c r="P22" s="992">
        <v>50</v>
      </c>
      <c r="Q22" s="992">
        <v>78</v>
      </c>
      <c r="R22" s="992">
        <v>55</v>
      </c>
      <c r="S22" s="992">
        <v>48</v>
      </c>
      <c r="T22" s="992">
        <v>60</v>
      </c>
      <c r="U22" s="992">
        <v>197</v>
      </c>
      <c r="V22" s="622">
        <f t="shared" si="4"/>
        <v>1170</v>
      </c>
      <c r="W22" s="767"/>
      <c r="X22" s="997">
        <f t="shared" si="5"/>
        <v>0</v>
      </c>
    </row>
    <row r="23" spans="1:90">
      <c r="A23" s="1019" t="s">
        <v>2141</v>
      </c>
      <c r="B23" s="1025" t="s">
        <v>239</v>
      </c>
      <c r="C23" s="1024" t="s">
        <v>429</v>
      </c>
      <c r="D23" s="1021" t="s">
        <v>236</v>
      </c>
      <c r="E23" s="695">
        <v>3</v>
      </c>
      <c r="F23" s="695">
        <v>3</v>
      </c>
      <c r="G23" s="695">
        <v>3</v>
      </c>
      <c r="H23" s="992">
        <v>3</v>
      </c>
      <c r="I23" s="992">
        <v>5</v>
      </c>
      <c r="J23" s="992">
        <v>3</v>
      </c>
      <c r="K23" s="992">
        <v>3</v>
      </c>
      <c r="L23" s="992">
        <v>3</v>
      </c>
      <c r="M23" s="992">
        <v>4</v>
      </c>
      <c r="N23" s="992">
        <v>3</v>
      </c>
      <c r="O23" s="992">
        <v>3</v>
      </c>
      <c r="P23" s="992">
        <v>3</v>
      </c>
      <c r="Q23" s="992">
        <v>4</v>
      </c>
      <c r="R23" s="992">
        <v>3</v>
      </c>
      <c r="S23" s="992">
        <v>3</v>
      </c>
      <c r="T23" s="992">
        <v>3</v>
      </c>
      <c r="U23" s="992">
        <v>10</v>
      </c>
      <c r="V23" s="622">
        <f t="shared" si="4"/>
        <v>62</v>
      </c>
      <c r="W23" s="767"/>
      <c r="X23" s="997">
        <f t="shared" si="5"/>
        <v>0</v>
      </c>
    </row>
    <row r="24" spans="1:90">
      <c r="A24" s="1019" t="s">
        <v>2142</v>
      </c>
      <c r="B24" s="1025" t="s">
        <v>2840</v>
      </c>
      <c r="C24" s="1024" t="str">
        <f>'5. REKONSTR VODOVODA građ'!C59</f>
        <v>2.4.15.</v>
      </c>
      <c r="D24" s="1021" t="s">
        <v>236</v>
      </c>
      <c r="E24" s="695">
        <v>2</v>
      </c>
      <c r="F24" s="695">
        <v>2</v>
      </c>
      <c r="G24" s="695">
        <v>2</v>
      </c>
      <c r="H24" s="992">
        <v>1.5</v>
      </c>
      <c r="I24" s="992">
        <v>2.4</v>
      </c>
      <c r="J24" s="992">
        <v>2</v>
      </c>
      <c r="K24" s="992">
        <v>2</v>
      </c>
      <c r="L24" s="992">
        <v>2.4</v>
      </c>
      <c r="M24" s="992">
        <v>2.4</v>
      </c>
      <c r="N24" s="992">
        <v>1.5</v>
      </c>
      <c r="O24" s="992">
        <v>1.5</v>
      </c>
      <c r="P24" s="992">
        <v>2</v>
      </c>
      <c r="Q24" s="992">
        <v>2.4</v>
      </c>
      <c r="R24" s="992">
        <v>1.5</v>
      </c>
      <c r="S24" s="992">
        <v>1.5</v>
      </c>
      <c r="T24" s="992">
        <v>2</v>
      </c>
      <c r="U24" s="992">
        <v>6.5</v>
      </c>
      <c r="V24" s="622">
        <f t="shared" si="4"/>
        <v>37.599999999999994</v>
      </c>
      <c r="W24" s="767"/>
      <c r="X24" s="997">
        <f t="shared" si="5"/>
        <v>0</v>
      </c>
    </row>
    <row r="25" spans="1:90">
      <c r="A25" s="1019" t="s">
        <v>2143</v>
      </c>
      <c r="B25" s="1409" t="s">
        <v>1019</v>
      </c>
      <c r="C25" s="1478" t="str">
        <f>'1. KOLEKTORI'!C91</f>
        <v>2.4.10.</v>
      </c>
      <c r="D25" s="1012" t="s">
        <v>236</v>
      </c>
      <c r="E25" s="695">
        <v>1</v>
      </c>
      <c r="F25" s="695">
        <v>36</v>
      </c>
      <c r="G25" s="695">
        <v>40</v>
      </c>
      <c r="H25" s="992">
        <v>38</v>
      </c>
      <c r="I25" s="992">
        <v>72</v>
      </c>
      <c r="J25" s="992">
        <v>5</v>
      </c>
      <c r="K25" s="992">
        <v>57</v>
      </c>
      <c r="L25" s="992">
        <v>38</v>
      </c>
      <c r="M25" s="992">
        <v>66</v>
      </c>
      <c r="N25" s="992">
        <v>36</v>
      </c>
      <c r="O25" s="992">
        <v>30</v>
      </c>
      <c r="P25" s="992">
        <v>38</v>
      </c>
      <c r="Q25" s="992">
        <v>56</v>
      </c>
      <c r="R25" s="992">
        <v>40</v>
      </c>
      <c r="S25" s="992">
        <v>30</v>
      </c>
      <c r="T25" s="992">
        <v>45</v>
      </c>
      <c r="U25" s="992">
        <v>5</v>
      </c>
      <c r="V25" s="622">
        <f t="shared" si="4"/>
        <v>633</v>
      </c>
      <c r="W25" s="767"/>
      <c r="X25" s="997">
        <f t="shared" si="5"/>
        <v>0</v>
      </c>
    </row>
    <row r="26" spans="1:90">
      <c r="A26" s="1019" t="s">
        <v>2144</v>
      </c>
      <c r="B26" s="1025" t="s">
        <v>1023</v>
      </c>
      <c r="C26" s="1478" t="str">
        <f>'1. KOLEKTORI'!C90</f>
        <v>2.4.9.</v>
      </c>
      <c r="D26" s="1012" t="s">
        <v>236</v>
      </c>
      <c r="E26" s="695">
        <v>1</v>
      </c>
      <c r="F26" s="695">
        <v>1</v>
      </c>
      <c r="G26" s="695"/>
      <c r="H26" s="992">
        <v>5</v>
      </c>
      <c r="I26" s="992">
        <v>5</v>
      </c>
      <c r="J26" s="992">
        <v>30</v>
      </c>
      <c r="K26" s="992">
        <v>5</v>
      </c>
      <c r="L26" s="992">
        <v>5</v>
      </c>
      <c r="M26" s="992">
        <v>1</v>
      </c>
      <c r="N26" s="992">
        <v>1</v>
      </c>
      <c r="O26" s="992">
        <v>5</v>
      </c>
      <c r="P26" s="992">
        <v>1</v>
      </c>
      <c r="Q26" s="992">
        <v>1</v>
      </c>
      <c r="R26" s="992">
        <v>5</v>
      </c>
      <c r="S26" s="992">
        <v>5</v>
      </c>
      <c r="T26" s="992">
        <v>1</v>
      </c>
      <c r="U26" s="992">
        <v>70</v>
      </c>
      <c r="V26" s="622">
        <f t="shared" si="4"/>
        <v>142</v>
      </c>
      <c r="W26" s="767"/>
      <c r="X26" s="997">
        <f t="shared" si="5"/>
        <v>0</v>
      </c>
    </row>
    <row r="27" spans="1:90">
      <c r="A27" s="1019" t="s">
        <v>2145</v>
      </c>
      <c r="B27" s="1027" t="s">
        <v>581</v>
      </c>
      <c r="C27" s="1479" t="str">
        <f>'1. KOLEKTORI'!C95</f>
        <v>2.4.12.</v>
      </c>
      <c r="D27" s="1028" t="s">
        <v>234</v>
      </c>
      <c r="E27" s="695">
        <v>20</v>
      </c>
      <c r="F27" s="695">
        <v>1</v>
      </c>
      <c r="G27" s="695">
        <v>1</v>
      </c>
      <c r="H27" s="992">
        <v>5</v>
      </c>
      <c r="I27" s="992">
        <v>1</v>
      </c>
      <c r="J27" s="992">
        <v>20</v>
      </c>
      <c r="K27" s="992">
        <v>20</v>
      </c>
      <c r="L27" s="992">
        <v>1</v>
      </c>
      <c r="M27" s="992">
        <v>1</v>
      </c>
      <c r="N27" s="992">
        <v>5</v>
      </c>
      <c r="O27" s="992">
        <v>10</v>
      </c>
      <c r="P27" s="992">
        <v>1</v>
      </c>
      <c r="Q27" s="992">
        <v>1</v>
      </c>
      <c r="R27" s="992">
        <v>5</v>
      </c>
      <c r="S27" s="992">
        <v>20</v>
      </c>
      <c r="T27" s="992">
        <v>20</v>
      </c>
      <c r="U27" s="992">
        <v>10</v>
      </c>
      <c r="V27" s="622">
        <f t="shared" si="4"/>
        <v>142</v>
      </c>
      <c r="W27" s="767"/>
      <c r="X27" s="997">
        <f t="shared" si="5"/>
        <v>0</v>
      </c>
    </row>
    <row r="28" spans="1:90">
      <c r="A28" s="1019" t="s">
        <v>2146</v>
      </c>
      <c r="B28" s="1025" t="str">
        <f>'1. KOLEKTORI'!B96</f>
        <v>Utovar i odvoz viška materijala</v>
      </c>
      <c r="C28" s="1024" t="s">
        <v>418</v>
      </c>
      <c r="D28" s="1021" t="s">
        <v>236</v>
      </c>
      <c r="E28" s="695">
        <v>64</v>
      </c>
      <c r="F28" s="695">
        <v>47</v>
      </c>
      <c r="G28" s="695">
        <v>52</v>
      </c>
      <c r="H28" s="992">
        <v>45</v>
      </c>
      <c r="I28" s="992">
        <v>100</v>
      </c>
      <c r="J28" s="992">
        <v>21</v>
      </c>
      <c r="K28" s="992">
        <v>71</v>
      </c>
      <c r="L28" s="992">
        <v>42</v>
      </c>
      <c r="M28" s="992">
        <v>91</v>
      </c>
      <c r="N28" s="992">
        <v>47</v>
      </c>
      <c r="O28" s="992">
        <v>43</v>
      </c>
      <c r="P28" s="992">
        <v>49</v>
      </c>
      <c r="Q28" s="992">
        <v>77</v>
      </c>
      <c r="R28" s="992">
        <v>50</v>
      </c>
      <c r="S28" s="992">
        <v>43</v>
      </c>
      <c r="T28" s="992">
        <v>59</v>
      </c>
      <c r="U28" s="992">
        <v>127</v>
      </c>
      <c r="V28" s="622">
        <f t="shared" si="4"/>
        <v>1028</v>
      </c>
      <c r="W28" s="767"/>
      <c r="X28" s="997">
        <f t="shared" si="5"/>
        <v>0</v>
      </c>
    </row>
    <row r="29" spans="1:90" s="592" customFormat="1" ht="16.5" customHeight="1">
      <c r="A29" s="735" t="s">
        <v>2147</v>
      </c>
      <c r="B29" s="736" t="s">
        <v>358</v>
      </c>
      <c r="C29" s="744"/>
      <c r="D29" s="733"/>
      <c r="E29" s="721"/>
      <c r="F29" s="721"/>
      <c r="G29" s="721"/>
      <c r="H29" s="994"/>
      <c r="I29" s="994"/>
      <c r="J29" s="994"/>
      <c r="K29" s="994"/>
      <c r="L29" s="994"/>
      <c r="M29" s="994"/>
      <c r="N29" s="994"/>
      <c r="O29" s="994"/>
      <c r="P29" s="994"/>
      <c r="Q29" s="994"/>
      <c r="R29" s="994"/>
      <c r="S29" s="994"/>
      <c r="T29" s="994"/>
      <c r="U29" s="994"/>
      <c r="V29" s="778"/>
      <c r="W29" s="722"/>
      <c r="X29" s="998">
        <f>SUM(X30:X35)</f>
        <v>0</v>
      </c>
      <c r="Y29" s="662"/>
      <c r="Z29" s="662"/>
      <c r="AA29" s="662"/>
      <c r="AB29" s="662"/>
      <c r="AC29" s="662"/>
      <c r="AD29" s="662"/>
      <c r="AE29" s="662"/>
      <c r="AF29" s="662"/>
      <c r="AG29" s="662"/>
      <c r="AH29" s="662"/>
      <c r="AI29" s="662"/>
      <c r="AJ29" s="662"/>
      <c r="AK29" s="662"/>
      <c r="AL29" s="662"/>
      <c r="AM29" s="662"/>
      <c r="AN29" s="662"/>
      <c r="AO29" s="662"/>
      <c r="AP29" s="662"/>
      <c r="AQ29" s="662"/>
      <c r="AR29" s="662"/>
      <c r="AS29" s="662"/>
      <c r="AT29" s="662"/>
      <c r="AU29" s="662"/>
      <c r="AV29" s="662"/>
      <c r="AW29" s="662"/>
      <c r="AX29" s="662"/>
      <c r="AY29" s="662"/>
      <c r="AZ29" s="662"/>
      <c r="BA29" s="662"/>
      <c r="BB29" s="662"/>
      <c r="BC29" s="662"/>
      <c r="BD29" s="662"/>
      <c r="BE29" s="662"/>
      <c r="BF29" s="662"/>
      <c r="BG29" s="662"/>
      <c r="BH29" s="662"/>
      <c r="BI29" s="662"/>
      <c r="BJ29" s="662"/>
      <c r="BK29" s="662"/>
      <c r="BL29" s="662"/>
      <c r="BM29" s="662"/>
      <c r="BN29" s="662"/>
      <c r="BO29" s="662"/>
      <c r="BP29" s="662"/>
      <c r="BQ29" s="662"/>
      <c r="BR29" s="662"/>
      <c r="BS29" s="662"/>
      <c r="BT29" s="662"/>
      <c r="BU29" s="662"/>
      <c r="BV29" s="662"/>
      <c r="BW29" s="662"/>
      <c r="BX29" s="662"/>
      <c r="BY29" s="662"/>
      <c r="BZ29" s="662"/>
      <c r="CA29" s="662"/>
      <c r="CB29" s="662"/>
      <c r="CC29" s="662"/>
      <c r="CD29" s="662"/>
      <c r="CE29" s="662"/>
      <c r="CF29" s="662"/>
      <c r="CG29" s="662"/>
      <c r="CH29" s="662"/>
      <c r="CI29" s="662"/>
      <c r="CJ29" s="662"/>
      <c r="CK29" s="662"/>
      <c r="CL29" s="662"/>
    </row>
    <row r="30" spans="1:90">
      <c r="A30" s="1019" t="s">
        <v>2148</v>
      </c>
      <c r="B30" s="1025" t="s">
        <v>1021</v>
      </c>
      <c r="C30" s="1021"/>
      <c r="D30" s="1029"/>
      <c r="E30" s="695"/>
      <c r="F30" s="695"/>
      <c r="G30" s="695"/>
      <c r="H30" s="992"/>
      <c r="I30" s="992"/>
      <c r="J30" s="992"/>
      <c r="K30" s="992"/>
      <c r="L30" s="992"/>
      <c r="M30" s="992"/>
      <c r="N30" s="992"/>
      <c r="O30" s="992"/>
      <c r="P30" s="992"/>
      <c r="Q30" s="992"/>
      <c r="R30" s="992"/>
      <c r="S30" s="992"/>
      <c r="T30" s="992"/>
      <c r="U30" s="992"/>
      <c r="V30" s="622"/>
      <c r="W30" s="997"/>
      <c r="X30" s="997"/>
    </row>
    <row r="31" spans="1:90" ht="28.5">
      <c r="A31" s="1010" t="s">
        <v>2150</v>
      </c>
      <c r="B31" s="1011" t="s">
        <v>1020</v>
      </c>
      <c r="C31" s="1012"/>
      <c r="D31" s="730" t="s">
        <v>236</v>
      </c>
      <c r="E31" s="695">
        <f>1+2.5</f>
        <v>3.5</v>
      </c>
      <c r="F31" s="695">
        <v>3.5</v>
      </c>
      <c r="G31" s="695">
        <v>3.5</v>
      </c>
      <c r="H31" s="992">
        <v>3.5</v>
      </c>
      <c r="I31" s="992">
        <v>3.5</v>
      </c>
      <c r="J31" s="992">
        <v>3.5</v>
      </c>
      <c r="K31" s="992">
        <v>3.5</v>
      </c>
      <c r="L31" s="992">
        <v>3.5</v>
      </c>
      <c r="M31" s="992">
        <v>3.5</v>
      </c>
      <c r="N31" s="992">
        <v>3.5</v>
      </c>
      <c r="O31" s="992">
        <v>3.5</v>
      </c>
      <c r="P31" s="992">
        <v>3.5</v>
      </c>
      <c r="Q31" s="992">
        <v>3.5</v>
      </c>
      <c r="R31" s="992">
        <v>3.5</v>
      </c>
      <c r="S31" s="992">
        <v>3.5</v>
      </c>
      <c r="T31" s="992">
        <v>3.5</v>
      </c>
      <c r="U31" s="992">
        <v>1</v>
      </c>
      <c r="V31" s="622">
        <f t="shared" si="4"/>
        <v>57</v>
      </c>
      <c r="W31" s="767"/>
      <c r="X31" s="997">
        <f t="shared" si="5"/>
        <v>0</v>
      </c>
    </row>
    <row r="32" spans="1:90" ht="28.5">
      <c r="A32" s="1010" t="s">
        <v>2149</v>
      </c>
      <c r="B32" s="1011" t="s">
        <v>1022</v>
      </c>
      <c r="C32" s="1012"/>
      <c r="D32" s="730" t="s">
        <v>236</v>
      </c>
      <c r="E32" s="695">
        <v>1</v>
      </c>
      <c r="F32" s="695">
        <v>1</v>
      </c>
      <c r="G32" s="695">
        <v>1</v>
      </c>
      <c r="H32" s="992">
        <v>1</v>
      </c>
      <c r="I32" s="992">
        <v>1</v>
      </c>
      <c r="J32" s="992">
        <v>1</v>
      </c>
      <c r="K32" s="992">
        <v>1</v>
      </c>
      <c r="L32" s="992">
        <v>1</v>
      </c>
      <c r="M32" s="992">
        <v>1</v>
      </c>
      <c r="N32" s="992">
        <v>1</v>
      </c>
      <c r="O32" s="992">
        <v>1</v>
      </c>
      <c r="P32" s="992">
        <v>1</v>
      </c>
      <c r="Q32" s="992">
        <v>1</v>
      </c>
      <c r="R32" s="992">
        <v>1</v>
      </c>
      <c r="S32" s="992">
        <v>1</v>
      </c>
      <c r="T32" s="992">
        <v>1</v>
      </c>
      <c r="U32" s="992">
        <v>1</v>
      </c>
      <c r="V32" s="622">
        <f t="shared" si="4"/>
        <v>17</v>
      </c>
      <c r="W32" s="767"/>
      <c r="X32" s="997">
        <f t="shared" si="5"/>
        <v>0</v>
      </c>
    </row>
    <row r="33" spans="1:90">
      <c r="A33" s="1019" t="s">
        <v>2151</v>
      </c>
      <c r="B33" s="1481" t="str">
        <f>'3. PRELJEVI'!B30</f>
        <v>Armatura (šipke i mreže)</v>
      </c>
      <c r="C33" s="1480" t="str">
        <f>'3. PRELJEVI'!C30</f>
        <v>2.5.21.</v>
      </c>
      <c r="D33" s="1031" t="s">
        <v>201</v>
      </c>
      <c r="E33" s="765">
        <v>250</v>
      </c>
      <c r="F33" s="765">
        <v>250</v>
      </c>
      <c r="G33" s="765">
        <v>250</v>
      </c>
      <c r="H33" s="995">
        <v>250</v>
      </c>
      <c r="I33" s="995">
        <v>250</v>
      </c>
      <c r="J33" s="995">
        <v>250</v>
      </c>
      <c r="K33" s="995">
        <v>250</v>
      </c>
      <c r="L33" s="995">
        <v>250</v>
      </c>
      <c r="M33" s="995">
        <v>250</v>
      </c>
      <c r="N33" s="995">
        <v>250</v>
      </c>
      <c r="O33" s="995">
        <v>250</v>
      </c>
      <c r="P33" s="995">
        <v>250</v>
      </c>
      <c r="Q33" s="995">
        <v>250</v>
      </c>
      <c r="R33" s="995">
        <v>250</v>
      </c>
      <c r="S33" s="995">
        <v>250</v>
      </c>
      <c r="T33" s="995">
        <v>250</v>
      </c>
      <c r="U33" s="995">
        <v>5070</v>
      </c>
      <c r="V33" s="622">
        <f t="shared" si="4"/>
        <v>9070</v>
      </c>
      <c r="W33" s="768"/>
      <c r="X33" s="997">
        <f t="shared" si="5"/>
        <v>0</v>
      </c>
    </row>
    <row r="34" spans="1:90">
      <c r="A34" s="1019" t="s">
        <v>2152</v>
      </c>
      <c r="B34" s="1025" t="s">
        <v>1079</v>
      </c>
      <c r="C34" s="1030" t="s">
        <v>582</v>
      </c>
      <c r="D34" s="1031" t="s">
        <v>236</v>
      </c>
      <c r="E34" s="765">
        <v>1</v>
      </c>
      <c r="F34" s="765">
        <v>1</v>
      </c>
      <c r="G34" s="765">
        <v>1</v>
      </c>
      <c r="H34" s="995"/>
      <c r="I34" s="995">
        <v>1</v>
      </c>
      <c r="J34" s="995"/>
      <c r="K34" s="995"/>
      <c r="L34" s="995">
        <v>1</v>
      </c>
      <c r="M34" s="995">
        <v>1</v>
      </c>
      <c r="N34" s="995">
        <v>1</v>
      </c>
      <c r="O34" s="995"/>
      <c r="P34" s="995">
        <v>1</v>
      </c>
      <c r="Q34" s="995">
        <v>1</v>
      </c>
      <c r="R34" s="995"/>
      <c r="S34" s="995">
        <v>1</v>
      </c>
      <c r="T34" s="995">
        <v>1</v>
      </c>
      <c r="U34" s="995"/>
      <c r="V34" s="622">
        <f t="shared" si="4"/>
        <v>11</v>
      </c>
      <c r="W34" s="768"/>
      <c r="X34" s="997">
        <f t="shared" si="5"/>
        <v>0</v>
      </c>
    </row>
    <row r="35" spans="1:90">
      <c r="A35" s="1019" t="s">
        <v>2153</v>
      </c>
      <c r="B35" s="1025" t="s">
        <v>1091</v>
      </c>
      <c r="C35" s="1030" t="s">
        <v>2333</v>
      </c>
      <c r="D35" s="1031" t="s">
        <v>236</v>
      </c>
      <c r="E35" s="765"/>
      <c r="F35" s="765"/>
      <c r="G35" s="765"/>
      <c r="H35" s="995"/>
      <c r="I35" s="995"/>
      <c r="J35" s="995"/>
      <c r="K35" s="995"/>
      <c r="L35" s="995"/>
      <c r="M35" s="995"/>
      <c r="N35" s="995"/>
      <c r="O35" s="995"/>
      <c r="P35" s="995"/>
      <c r="Q35" s="995"/>
      <c r="R35" s="995"/>
      <c r="S35" s="995"/>
      <c r="T35" s="995"/>
      <c r="U35" s="995">
        <v>42.5</v>
      </c>
      <c r="V35" s="622">
        <f t="shared" si="4"/>
        <v>42.5</v>
      </c>
      <c r="W35" s="768"/>
      <c r="X35" s="997">
        <f t="shared" si="5"/>
        <v>0</v>
      </c>
    </row>
    <row r="36" spans="1:90" s="592" customFormat="1" ht="16.5" customHeight="1">
      <c r="A36" s="735" t="s">
        <v>2154</v>
      </c>
      <c r="B36" s="736" t="s">
        <v>1015</v>
      </c>
      <c r="C36" s="744"/>
      <c r="D36" s="733"/>
      <c r="E36" s="721"/>
      <c r="F36" s="721"/>
      <c r="G36" s="721"/>
      <c r="H36" s="994"/>
      <c r="I36" s="994"/>
      <c r="J36" s="994"/>
      <c r="K36" s="994"/>
      <c r="L36" s="994"/>
      <c r="M36" s="994"/>
      <c r="N36" s="994"/>
      <c r="O36" s="994"/>
      <c r="P36" s="994"/>
      <c r="Q36" s="994"/>
      <c r="R36" s="994"/>
      <c r="S36" s="994"/>
      <c r="T36" s="994"/>
      <c r="U36" s="994"/>
      <c r="V36" s="778"/>
      <c r="W36" s="722"/>
      <c r="X36" s="998">
        <f>SUM(X37:X48)</f>
        <v>0</v>
      </c>
      <c r="Y36" s="662"/>
      <c r="Z36" s="662"/>
      <c r="AA36" s="662"/>
      <c r="AB36" s="662"/>
      <c r="AC36" s="662"/>
      <c r="AD36" s="662"/>
      <c r="AE36" s="662"/>
      <c r="AF36" s="662"/>
      <c r="AG36" s="662"/>
      <c r="AH36" s="662"/>
      <c r="AI36" s="662"/>
      <c r="AJ36" s="662"/>
      <c r="AK36" s="662"/>
      <c r="AL36" s="662"/>
      <c r="AM36" s="662"/>
      <c r="AN36" s="662"/>
      <c r="AO36" s="662"/>
      <c r="AP36" s="662"/>
      <c r="AQ36" s="662"/>
      <c r="AR36" s="662"/>
      <c r="AS36" s="662"/>
      <c r="AT36" s="662"/>
      <c r="AU36" s="662"/>
      <c r="AV36" s="662"/>
      <c r="AW36" s="662"/>
      <c r="AX36" s="662"/>
      <c r="AY36" s="662"/>
      <c r="AZ36" s="662"/>
      <c r="BA36" s="662"/>
      <c r="BB36" s="662"/>
      <c r="BC36" s="662"/>
      <c r="BD36" s="662"/>
      <c r="BE36" s="662"/>
      <c r="BF36" s="662"/>
      <c r="BG36" s="662"/>
      <c r="BH36" s="662"/>
      <c r="BI36" s="662"/>
      <c r="BJ36" s="662"/>
      <c r="BK36" s="662"/>
      <c r="BL36" s="662"/>
      <c r="BM36" s="662"/>
      <c r="BN36" s="662"/>
      <c r="BO36" s="662"/>
      <c r="BP36" s="662"/>
      <c r="BQ36" s="662"/>
      <c r="BR36" s="662"/>
      <c r="BS36" s="662"/>
      <c r="BT36" s="662"/>
      <c r="BU36" s="662"/>
      <c r="BV36" s="662"/>
      <c r="BW36" s="662"/>
      <c r="BX36" s="662"/>
      <c r="BY36" s="662"/>
      <c r="BZ36" s="662"/>
      <c r="CA36" s="662"/>
      <c r="CB36" s="662"/>
      <c r="CC36" s="662"/>
      <c r="CD36" s="662"/>
      <c r="CE36" s="662"/>
      <c r="CF36" s="662"/>
      <c r="CG36" s="662"/>
      <c r="CH36" s="662"/>
      <c r="CI36" s="662"/>
      <c r="CJ36" s="662"/>
      <c r="CK36" s="662"/>
      <c r="CL36" s="662"/>
    </row>
    <row r="37" spans="1:90">
      <c r="A37" s="1019" t="s">
        <v>2155</v>
      </c>
      <c r="B37" s="1025" t="s">
        <v>1076</v>
      </c>
      <c r="C37" s="823"/>
      <c r="D37" s="1031"/>
      <c r="E37" s="765"/>
      <c r="F37" s="765"/>
      <c r="G37" s="765"/>
      <c r="H37" s="995"/>
      <c r="I37" s="995"/>
      <c r="J37" s="995"/>
      <c r="K37" s="995"/>
      <c r="L37" s="995"/>
      <c r="M37" s="995"/>
      <c r="N37" s="995"/>
      <c r="O37" s="995"/>
      <c r="P37" s="995"/>
      <c r="Q37" s="995"/>
      <c r="R37" s="995"/>
      <c r="S37" s="995"/>
      <c r="T37" s="995"/>
      <c r="U37" s="995"/>
      <c r="V37" s="622"/>
      <c r="W37" s="710"/>
      <c r="X37" s="997"/>
    </row>
    <row r="38" spans="1:90">
      <c r="A38" s="1010" t="s">
        <v>2156</v>
      </c>
      <c r="B38" s="1011" t="s">
        <v>1016</v>
      </c>
      <c r="C38" s="1013" t="s">
        <v>382</v>
      </c>
      <c r="D38" s="1014" t="s">
        <v>11</v>
      </c>
      <c r="E38" s="765">
        <v>20</v>
      </c>
      <c r="F38" s="765">
        <v>20</v>
      </c>
      <c r="G38" s="765">
        <v>20</v>
      </c>
      <c r="H38" s="995">
        <v>5</v>
      </c>
      <c r="I38" s="995">
        <v>20</v>
      </c>
      <c r="J38" s="995"/>
      <c r="K38" s="995"/>
      <c r="L38" s="995">
        <v>20</v>
      </c>
      <c r="M38" s="995">
        <v>20</v>
      </c>
      <c r="N38" s="995"/>
      <c r="O38" s="995"/>
      <c r="P38" s="995">
        <v>20</v>
      </c>
      <c r="Q38" s="995">
        <v>10</v>
      </c>
      <c r="R38" s="995">
        <v>5</v>
      </c>
      <c r="S38" s="995">
        <v>5</v>
      </c>
      <c r="T38" s="995">
        <v>10</v>
      </c>
      <c r="U38" s="995"/>
      <c r="V38" s="622">
        <f t="shared" si="4"/>
        <v>175</v>
      </c>
      <c r="W38" s="768"/>
      <c r="X38" s="997">
        <f t="shared" si="5"/>
        <v>0</v>
      </c>
    </row>
    <row r="39" spans="1:90">
      <c r="A39" s="1019" t="s">
        <v>2157</v>
      </c>
      <c r="B39" s="1025" t="s">
        <v>400</v>
      </c>
      <c r="C39" s="823"/>
      <c r="D39" s="1031"/>
      <c r="E39" s="765"/>
      <c r="F39" s="765"/>
      <c r="G39" s="765"/>
      <c r="H39" s="995"/>
      <c r="I39" s="995"/>
      <c r="J39" s="995"/>
      <c r="K39" s="995"/>
      <c r="L39" s="995"/>
      <c r="M39" s="995"/>
      <c r="N39" s="995"/>
      <c r="O39" s="995"/>
      <c r="P39" s="995"/>
      <c r="Q39" s="995"/>
      <c r="R39" s="995"/>
      <c r="S39" s="995"/>
      <c r="T39" s="995"/>
      <c r="U39" s="995"/>
      <c r="V39" s="622"/>
      <c r="W39" s="710"/>
      <c r="X39" s="997"/>
    </row>
    <row r="40" spans="1:90">
      <c r="A40" s="1010" t="s">
        <v>2158</v>
      </c>
      <c r="B40" s="1011" t="s">
        <v>1016</v>
      </c>
      <c r="C40" s="1013" t="s">
        <v>414</v>
      </c>
      <c r="D40" s="1014" t="s">
        <v>234</v>
      </c>
      <c r="E40" s="765">
        <v>10</v>
      </c>
      <c r="F40" s="765">
        <v>20</v>
      </c>
      <c r="G40" s="765">
        <v>20</v>
      </c>
      <c r="H40" s="995">
        <v>5</v>
      </c>
      <c r="I40" s="995">
        <v>20</v>
      </c>
      <c r="J40" s="995"/>
      <c r="K40" s="995"/>
      <c r="L40" s="995">
        <v>10</v>
      </c>
      <c r="M40" s="995">
        <v>10</v>
      </c>
      <c r="N40" s="995"/>
      <c r="O40" s="995"/>
      <c r="P40" s="995">
        <v>10</v>
      </c>
      <c r="Q40" s="995">
        <v>5</v>
      </c>
      <c r="R40" s="995">
        <v>5</v>
      </c>
      <c r="S40" s="995">
        <v>5</v>
      </c>
      <c r="T40" s="995">
        <v>5</v>
      </c>
      <c r="U40" s="995"/>
      <c r="V40" s="622">
        <f t="shared" si="4"/>
        <v>125</v>
      </c>
      <c r="W40" s="768"/>
      <c r="X40" s="997">
        <f t="shared" si="5"/>
        <v>0</v>
      </c>
    </row>
    <row r="41" spans="1:90">
      <c r="A41" s="1019" t="s">
        <v>2159</v>
      </c>
      <c r="B41" s="1025" t="s">
        <v>1078</v>
      </c>
      <c r="C41" s="1030" t="s">
        <v>1077</v>
      </c>
      <c r="D41" s="1031" t="s">
        <v>18</v>
      </c>
      <c r="E41" s="765"/>
      <c r="F41" s="765"/>
      <c r="G41" s="765"/>
      <c r="H41" s="995">
        <v>1</v>
      </c>
      <c r="I41" s="995"/>
      <c r="J41" s="995">
        <v>1</v>
      </c>
      <c r="K41" s="995">
        <v>1</v>
      </c>
      <c r="L41" s="995"/>
      <c r="M41" s="995"/>
      <c r="N41" s="995"/>
      <c r="O41" s="995">
        <v>1</v>
      </c>
      <c r="P41" s="995"/>
      <c r="Q41" s="995"/>
      <c r="R41" s="995">
        <v>1</v>
      </c>
      <c r="S41" s="995">
        <v>1</v>
      </c>
      <c r="T41" s="995"/>
      <c r="U41" s="995">
        <v>1</v>
      </c>
      <c r="V41" s="622">
        <f t="shared" si="4"/>
        <v>7</v>
      </c>
      <c r="W41" s="768"/>
      <c r="X41" s="997">
        <f t="shared" si="5"/>
        <v>0</v>
      </c>
    </row>
    <row r="42" spans="1:90">
      <c r="A42" s="1019" t="s">
        <v>2160</v>
      </c>
      <c r="B42" s="1025" t="s">
        <v>1087</v>
      </c>
      <c r="C42" s="1030" t="s">
        <v>431</v>
      </c>
      <c r="D42" s="1031" t="s">
        <v>18</v>
      </c>
      <c r="E42" s="765"/>
      <c r="F42" s="765">
        <v>1</v>
      </c>
      <c r="G42" s="765">
        <v>1</v>
      </c>
      <c r="H42" s="995"/>
      <c r="I42" s="995">
        <v>1</v>
      </c>
      <c r="J42" s="995"/>
      <c r="K42" s="995"/>
      <c r="L42" s="995">
        <v>1</v>
      </c>
      <c r="M42" s="995"/>
      <c r="N42" s="995"/>
      <c r="O42" s="995"/>
      <c r="P42" s="995"/>
      <c r="Q42" s="995">
        <v>1</v>
      </c>
      <c r="R42" s="995"/>
      <c r="S42" s="995"/>
      <c r="T42" s="995"/>
      <c r="U42" s="995"/>
      <c r="V42" s="622">
        <f t="shared" si="4"/>
        <v>5</v>
      </c>
      <c r="W42" s="768"/>
      <c r="X42" s="997">
        <f t="shared" si="5"/>
        <v>0</v>
      </c>
    </row>
    <row r="43" spans="1:90">
      <c r="A43" s="1019" t="s">
        <v>2161</v>
      </c>
      <c r="B43" s="1027" t="s">
        <v>1080</v>
      </c>
      <c r="C43" s="1032" t="s">
        <v>1081</v>
      </c>
      <c r="D43" s="1032" t="s">
        <v>18</v>
      </c>
      <c r="E43" s="765">
        <v>1</v>
      </c>
      <c r="F43" s="765">
        <v>1</v>
      </c>
      <c r="G43" s="765">
        <v>1</v>
      </c>
      <c r="H43" s="995"/>
      <c r="I43" s="995">
        <v>1</v>
      </c>
      <c r="J43" s="995"/>
      <c r="K43" s="995"/>
      <c r="L43" s="995">
        <v>1</v>
      </c>
      <c r="M43" s="995">
        <v>1</v>
      </c>
      <c r="N43" s="995">
        <v>1</v>
      </c>
      <c r="O43" s="995"/>
      <c r="P43" s="995">
        <v>1</v>
      </c>
      <c r="Q43" s="995">
        <v>1</v>
      </c>
      <c r="R43" s="995"/>
      <c r="S43" s="995"/>
      <c r="T43" s="995">
        <v>1</v>
      </c>
      <c r="U43" s="995"/>
      <c r="V43" s="622">
        <f t="shared" si="4"/>
        <v>10</v>
      </c>
      <c r="W43" s="768"/>
      <c r="X43" s="997">
        <f t="shared" si="5"/>
        <v>0</v>
      </c>
    </row>
    <row r="44" spans="1:90">
      <c r="A44" s="1019" t="s">
        <v>2162</v>
      </c>
      <c r="B44" s="1025" t="s">
        <v>1082</v>
      </c>
      <c r="C44" s="1030"/>
      <c r="D44" s="1031"/>
      <c r="E44" s="765"/>
      <c r="F44" s="765"/>
      <c r="G44" s="765"/>
      <c r="H44" s="995"/>
      <c r="I44" s="995"/>
      <c r="J44" s="995"/>
      <c r="K44" s="995"/>
      <c r="L44" s="995"/>
      <c r="M44" s="995"/>
      <c r="N44" s="995"/>
      <c r="O44" s="995"/>
      <c r="P44" s="995"/>
      <c r="Q44" s="995"/>
      <c r="R44" s="995"/>
      <c r="S44" s="995"/>
      <c r="T44" s="995"/>
      <c r="U44" s="995"/>
      <c r="V44" s="622"/>
      <c r="W44" s="710"/>
      <c r="X44" s="997"/>
    </row>
    <row r="45" spans="1:90">
      <c r="A45" s="1010" t="s">
        <v>2163</v>
      </c>
      <c r="B45" s="1011" t="s">
        <v>1083</v>
      </c>
      <c r="C45" s="1013" t="s">
        <v>1089</v>
      </c>
      <c r="D45" s="1014" t="s">
        <v>234</v>
      </c>
      <c r="E45" s="765">
        <v>10</v>
      </c>
      <c r="F45" s="765">
        <v>10</v>
      </c>
      <c r="G45" s="765">
        <v>10</v>
      </c>
      <c r="H45" s="995"/>
      <c r="I45" s="995">
        <v>10</v>
      </c>
      <c r="J45" s="995"/>
      <c r="K45" s="995"/>
      <c r="L45" s="995">
        <v>10</v>
      </c>
      <c r="M45" s="995">
        <v>10</v>
      </c>
      <c r="N45" s="995"/>
      <c r="O45" s="995"/>
      <c r="P45" s="995">
        <v>5</v>
      </c>
      <c r="Q45" s="995">
        <v>10</v>
      </c>
      <c r="R45" s="995"/>
      <c r="S45" s="995"/>
      <c r="T45" s="995">
        <v>5</v>
      </c>
      <c r="U45" s="995"/>
      <c r="V45" s="622">
        <f t="shared" si="4"/>
        <v>80</v>
      </c>
      <c r="W45" s="768"/>
      <c r="X45" s="997">
        <f t="shared" si="5"/>
        <v>0</v>
      </c>
    </row>
    <row r="46" spans="1:90">
      <c r="A46" s="1010" t="s">
        <v>2164</v>
      </c>
      <c r="B46" s="1011" t="s">
        <v>1084</v>
      </c>
      <c r="C46" s="1013" t="s">
        <v>1090</v>
      </c>
      <c r="D46" s="1014" t="s">
        <v>234</v>
      </c>
      <c r="E46" s="765">
        <v>20</v>
      </c>
      <c r="F46" s="765">
        <v>20</v>
      </c>
      <c r="G46" s="765">
        <v>20</v>
      </c>
      <c r="H46" s="995"/>
      <c r="I46" s="995">
        <v>20</v>
      </c>
      <c r="J46" s="995"/>
      <c r="K46" s="995"/>
      <c r="L46" s="995">
        <v>20</v>
      </c>
      <c r="M46" s="995">
        <v>15</v>
      </c>
      <c r="N46" s="995"/>
      <c r="O46" s="995"/>
      <c r="P46" s="995">
        <v>10</v>
      </c>
      <c r="Q46" s="995">
        <v>20</v>
      </c>
      <c r="R46" s="995"/>
      <c r="S46" s="995"/>
      <c r="T46" s="995">
        <v>10</v>
      </c>
      <c r="U46" s="995"/>
      <c r="V46" s="622">
        <f t="shared" si="4"/>
        <v>155</v>
      </c>
      <c r="W46" s="768"/>
      <c r="X46" s="997">
        <f t="shared" si="5"/>
        <v>0</v>
      </c>
    </row>
    <row r="47" spans="1:90">
      <c r="A47" s="1019" t="s">
        <v>2165</v>
      </c>
      <c r="B47" s="1025" t="s">
        <v>1018</v>
      </c>
      <c r="C47" s="1030"/>
      <c r="D47" s="1031"/>
      <c r="E47" s="765"/>
      <c r="F47" s="765"/>
      <c r="G47" s="765"/>
      <c r="H47" s="995"/>
      <c r="I47" s="995"/>
      <c r="J47" s="995"/>
      <c r="K47" s="995"/>
      <c r="L47" s="995"/>
      <c r="M47" s="995"/>
      <c r="N47" s="995"/>
      <c r="O47" s="995"/>
      <c r="P47" s="995"/>
      <c r="Q47" s="995"/>
      <c r="R47" s="995"/>
      <c r="S47" s="995"/>
      <c r="T47" s="995"/>
      <c r="U47" s="995"/>
      <c r="V47" s="622"/>
      <c r="W47" s="710"/>
      <c r="X47" s="997"/>
    </row>
    <row r="48" spans="1:90">
      <c r="A48" s="1010" t="s">
        <v>2166</v>
      </c>
      <c r="B48" s="1011" t="s">
        <v>1085</v>
      </c>
      <c r="C48" s="1013" t="s">
        <v>1089</v>
      </c>
      <c r="D48" s="1014" t="s">
        <v>234</v>
      </c>
      <c r="E48" s="765">
        <v>20</v>
      </c>
      <c r="F48" s="765">
        <v>20</v>
      </c>
      <c r="G48" s="765">
        <v>20</v>
      </c>
      <c r="H48" s="995"/>
      <c r="I48" s="995">
        <v>20</v>
      </c>
      <c r="J48" s="995"/>
      <c r="K48" s="995"/>
      <c r="L48" s="995">
        <v>20</v>
      </c>
      <c r="M48" s="995">
        <v>15</v>
      </c>
      <c r="N48" s="995"/>
      <c r="O48" s="995"/>
      <c r="P48" s="995">
        <v>10</v>
      </c>
      <c r="Q48" s="995">
        <v>20</v>
      </c>
      <c r="R48" s="995"/>
      <c r="S48" s="995"/>
      <c r="T48" s="995">
        <v>10</v>
      </c>
      <c r="U48" s="995"/>
      <c r="V48" s="622">
        <f t="shared" si="4"/>
        <v>155</v>
      </c>
      <c r="W48" s="768"/>
      <c r="X48" s="997">
        <f t="shared" si="5"/>
        <v>0</v>
      </c>
    </row>
    <row r="49" spans="1:90" s="592" customFormat="1">
      <c r="A49" s="735" t="s">
        <v>2167</v>
      </c>
      <c r="B49" s="736" t="s">
        <v>1011</v>
      </c>
      <c r="C49" s="745"/>
      <c r="D49" s="733"/>
      <c r="E49" s="721"/>
      <c r="F49" s="721"/>
      <c r="G49" s="721"/>
      <c r="H49" s="994"/>
      <c r="I49" s="994"/>
      <c r="J49" s="994"/>
      <c r="K49" s="994"/>
      <c r="L49" s="994"/>
      <c r="M49" s="994"/>
      <c r="N49" s="994"/>
      <c r="O49" s="994"/>
      <c r="P49" s="994"/>
      <c r="Q49" s="994"/>
      <c r="R49" s="994"/>
      <c r="S49" s="994"/>
      <c r="T49" s="994"/>
      <c r="U49" s="994"/>
      <c r="V49" s="778"/>
      <c r="W49" s="722"/>
      <c r="X49" s="998">
        <f>SUM(X50:X50)</f>
        <v>0</v>
      </c>
      <c r="Y49" s="662"/>
      <c r="Z49" s="662"/>
      <c r="AA49" s="662"/>
      <c r="AB49" s="662"/>
      <c r="AC49" s="662"/>
      <c r="AD49" s="662"/>
      <c r="AE49" s="662"/>
      <c r="AF49" s="662"/>
      <c r="AG49" s="662"/>
      <c r="AH49" s="662"/>
      <c r="AI49" s="662"/>
      <c r="AJ49" s="662"/>
      <c r="AK49" s="662"/>
      <c r="AL49" s="662"/>
      <c r="AM49" s="662"/>
      <c r="AN49" s="662"/>
      <c r="AO49" s="662"/>
      <c r="AP49" s="662"/>
      <c r="AQ49" s="662"/>
      <c r="AR49" s="662"/>
      <c r="AS49" s="662"/>
      <c r="AT49" s="662"/>
      <c r="AU49" s="662"/>
      <c r="AV49" s="662"/>
      <c r="AW49" s="662"/>
      <c r="AX49" s="662"/>
      <c r="AY49" s="662"/>
      <c r="AZ49" s="662"/>
      <c r="BA49" s="662"/>
      <c r="BB49" s="662"/>
      <c r="BC49" s="662"/>
      <c r="BD49" s="662"/>
      <c r="BE49" s="662"/>
      <c r="BF49" s="662"/>
      <c r="BG49" s="662"/>
      <c r="BH49" s="662"/>
      <c r="BI49" s="662"/>
      <c r="BJ49" s="662"/>
      <c r="BK49" s="662"/>
      <c r="BL49" s="662"/>
      <c r="BM49" s="662"/>
      <c r="BN49" s="662"/>
      <c r="BO49" s="662"/>
      <c r="BP49" s="662"/>
      <c r="BQ49" s="662"/>
      <c r="BR49" s="662"/>
      <c r="BS49" s="662"/>
      <c r="BT49" s="662"/>
      <c r="BU49" s="662"/>
      <c r="BV49" s="662"/>
      <c r="BW49" s="662"/>
      <c r="BX49" s="662"/>
      <c r="BY49" s="662"/>
      <c r="BZ49" s="662"/>
      <c r="CA49" s="662"/>
      <c r="CB49" s="662"/>
      <c r="CC49" s="662"/>
      <c r="CD49" s="662"/>
      <c r="CE49" s="662"/>
      <c r="CF49" s="662"/>
      <c r="CG49" s="662"/>
      <c r="CH49" s="662"/>
      <c r="CI49" s="662"/>
      <c r="CJ49" s="662"/>
      <c r="CK49" s="662"/>
      <c r="CL49" s="662"/>
    </row>
    <row r="50" spans="1:90">
      <c r="A50" s="1026" t="s">
        <v>2168</v>
      </c>
      <c r="B50" s="1027" t="s">
        <v>1017</v>
      </c>
      <c r="C50" s="1028"/>
      <c r="D50" s="1028" t="s">
        <v>18</v>
      </c>
      <c r="E50" s="695">
        <v>1</v>
      </c>
      <c r="F50" s="695">
        <v>1</v>
      </c>
      <c r="G50" s="695">
        <v>1</v>
      </c>
      <c r="H50" s="992">
        <v>1</v>
      </c>
      <c r="I50" s="992">
        <v>1</v>
      </c>
      <c r="J50" s="992">
        <v>1</v>
      </c>
      <c r="K50" s="992">
        <v>1</v>
      </c>
      <c r="L50" s="992">
        <v>1</v>
      </c>
      <c r="M50" s="992">
        <v>1</v>
      </c>
      <c r="N50" s="992">
        <v>1</v>
      </c>
      <c r="O50" s="992">
        <v>1</v>
      </c>
      <c r="P50" s="992">
        <v>1</v>
      </c>
      <c r="Q50" s="992">
        <v>1</v>
      </c>
      <c r="R50" s="992">
        <v>1</v>
      </c>
      <c r="S50" s="992">
        <v>1</v>
      </c>
      <c r="T50" s="992">
        <v>1</v>
      </c>
      <c r="U50" s="992">
        <v>1</v>
      </c>
      <c r="V50" s="622">
        <f t="shared" si="4"/>
        <v>17</v>
      </c>
      <c r="W50" s="767"/>
      <c r="X50" s="997">
        <f t="shared" si="5"/>
        <v>0</v>
      </c>
    </row>
    <row r="51" spans="1:90" s="592" customFormat="1" ht="16.5" customHeight="1">
      <c r="A51" s="735" t="s">
        <v>2169</v>
      </c>
      <c r="B51" s="736" t="s">
        <v>33</v>
      </c>
      <c r="C51" s="980"/>
      <c r="D51" s="733"/>
      <c r="E51" s="721"/>
      <c r="F51" s="721"/>
      <c r="G51" s="721"/>
      <c r="H51" s="994"/>
      <c r="I51" s="994"/>
      <c r="J51" s="994"/>
      <c r="K51" s="994"/>
      <c r="L51" s="994"/>
      <c r="M51" s="994"/>
      <c r="N51" s="994"/>
      <c r="O51" s="994"/>
      <c r="P51" s="994"/>
      <c r="Q51" s="994"/>
      <c r="R51" s="994"/>
      <c r="S51" s="994"/>
      <c r="T51" s="994"/>
      <c r="U51" s="994"/>
      <c r="V51" s="778"/>
      <c r="W51" s="722"/>
      <c r="X51" s="998">
        <f>SUM(X52:X56)</f>
        <v>0</v>
      </c>
      <c r="Y51" s="662"/>
      <c r="Z51" s="662"/>
      <c r="AA51" s="662"/>
      <c r="AB51" s="662"/>
      <c r="AC51" s="662"/>
      <c r="AD51" s="662"/>
      <c r="AE51" s="662"/>
      <c r="AF51" s="662"/>
      <c r="AG51" s="662"/>
      <c r="AH51" s="662"/>
      <c r="AI51" s="662"/>
      <c r="AJ51" s="662"/>
      <c r="AK51" s="662"/>
      <c r="AL51" s="662"/>
      <c r="AM51" s="662"/>
      <c r="AN51" s="662"/>
      <c r="AO51" s="662"/>
      <c r="AP51" s="662"/>
      <c r="AQ51" s="662"/>
      <c r="AR51" s="662"/>
      <c r="AS51" s="662"/>
      <c r="AT51" s="662"/>
      <c r="AU51" s="662"/>
      <c r="AV51" s="662"/>
      <c r="AW51" s="662"/>
      <c r="AX51" s="662"/>
      <c r="AY51" s="662"/>
      <c r="AZ51" s="662"/>
      <c r="BA51" s="662"/>
      <c r="BB51" s="662"/>
      <c r="BC51" s="662"/>
      <c r="BD51" s="662"/>
      <c r="BE51" s="662"/>
      <c r="BF51" s="662"/>
      <c r="BG51" s="662"/>
      <c r="BH51" s="662"/>
      <c r="BI51" s="662"/>
      <c r="BJ51" s="662"/>
      <c r="BK51" s="662"/>
      <c r="BL51" s="662"/>
      <c r="BM51" s="662"/>
      <c r="BN51" s="662"/>
      <c r="BO51" s="662"/>
      <c r="BP51" s="662"/>
      <c r="BQ51" s="662"/>
      <c r="BR51" s="662"/>
      <c r="BS51" s="662"/>
      <c r="BT51" s="662"/>
      <c r="BU51" s="662"/>
      <c r="BV51" s="662"/>
      <c r="BW51" s="662"/>
      <c r="BX51" s="662"/>
      <c r="BY51" s="662"/>
      <c r="BZ51" s="662"/>
      <c r="CA51" s="662"/>
      <c r="CB51" s="662"/>
      <c r="CC51" s="662"/>
      <c r="CD51" s="662"/>
      <c r="CE51" s="662"/>
      <c r="CF51" s="662"/>
      <c r="CG51" s="662"/>
      <c r="CH51" s="662"/>
      <c r="CI51" s="662"/>
      <c r="CJ51" s="662"/>
      <c r="CK51" s="662"/>
      <c r="CL51" s="662"/>
    </row>
    <row r="52" spans="1:90" s="603" customFormat="1">
      <c r="A52" s="1033" t="s">
        <v>2170</v>
      </c>
      <c r="B52" s="1034" t="s">
        <v>1075</v>
      </c>
      <c r="C52" s="1035"/>
      <c r="D52" s="1029"/>
      <c r="E52" s="695"/>
      <c r="F52" s="695"/>
      <c r="G52" s="695"/>
      <c r="H52" s="992"/>
      <c r="I52" s="992"/>
      <c r="J52" s="992"/>
      <c r="K52" s="992"/>
      <c r="L52" s="992"/>
      <c r="M52" s="992"/>
      <c r="N52" s="992"/>
      <c r="O52" s="992"/>
      <c r="P52" s="992"/>
      <c r="Q52" s="992"/>
      <c r="R52" s="992"/>
      <c r="S52" s="992"/>
      <c r="T52" s="992"/>
      <c r="U52" s="992"/>
      <c r="V52" s="622"/>
      <c r="W52" s="997"/>
      <c r="X52" s="997"/>
      <c r="Y52" s="663"/>
      <c r="Z52" s="663"/>
      <c r="AA52" s="663"/>
      <c r="AB52" s="663"/>
      <c r="AC52" s="663"/>
      <c r="AD52" s="663"/>
      <c r="AE52" s="663"/>
      <c r="AF52" s="663"/>
      <c r="AG52" s="663"/>
      <c r="AH52" s="663"/>
      <c r="AI52" s="663"/>
      <c r="AJ52" s="663"/>
      <c r="AK52" s="663"/>
      <c r="AL52" s="663"/>
      <c r="AM52" s="663"/>
      <c r="AN52" s="663"/>
      <c r="AO52" s="663"/>
      <c r="AP52" s="663"/>
      <c r="AQ52" s="663"/>
      <c r="AR52" s="663"/>
      <c r="AS52" s="663"/>
      <c r="AT52" s="663"/>
      <c r="AU52" s="663"/>
      <c r="AV52" s="663"/>
      <c r="AW52" s="663"/>
      <c r="AX52" s="663"/>
      <c r="AY52" s="663"/>
      <c r="AZ52" s="663"/>
      <c r="BA52" s="663"/>
      <c r="BB52" s="663"/>
      <c r="BC52" s="663"/>
      <c r="BD52" s="663"/>
      <c r="BE52" s="663"/>
      <c r="BF52" s="663"/>
      <c r="BG52" s="663"/>
      <c r="BH52" s="663"/>
      <c r="BI52" s="663"/>
      <c r="BJ52" s="663"/>
      <c r="BK52" s="663"/>
      <c r="BL52" s="663"/>
      <c r="BM52" s="663"/>
      <c r="BN52" s="663"/>
      <c r="BO52" s="663"/>
      <c r="BP52" s="663"/>
      <c r="BQ52" s="663"/>
      <c r="BR52" s="663"/>
      <c r="BS52" s="663"/>
      <c r="BT52" s="663"/>
      <c r="BU52" s="663"/>
      <c r="BV52" s="663"/>
      <c r="BW52" s="663"/>
      <c r="BX52" s="663"/>
      <c r="BY52" s="663"/>
      <c r="BZ52" s="663"/>
      <c r="CA52" s="663"/>
      <c r="CB52" s="663"/>
      <c r="CC52" s="663"/>
      <c r="CD52" s="663"/>
      <c r="CE52" s="663"/>
      <c r="CF52" s="663"/>
      <c r="CG52" s="663"/>
      <c r="CH52" s="663"/>
      <c r="CI52" s="663"/>
      <c r="CJ52" s="663"/>
      <c r="CK52" s="663"/>
      <c r="CL52" s="663"/>
    </row>
    <row r="53" spans="1:90" s="603" customFormat="1">
      <c r="A53" s="1015" t="s">
        <v>2171</v>
      </c>
      <c r="B53" s="1016" t="s">
        <v>1072</v>
      </c>
      <c r="C53" s="1017" t="s">
        <v>985</v>
      </c>
      <c r="D53" s="1018" t="s">
        <v>11</v>
      </c>
      <c r="E53" s="695">
        <v>5</v>
      </c>
      <c r="F53" s="695">
        <v>5</v>
      </c>
      <c r="G53" s="695">
        <v>5</v>
      </c>
      <c r="H53" s="992">
        <v>5</v>
      </c>
      <c r="I53" s="992">
        <v>5</v>
      </c>
      <c r="J53" s="992">
        <v>5</v>
      </c>
      <c r="K53" s="992">
        <v>5</v>
      </c>
      <c r="L53" s="992">
        <v>5</v>
      </c>
      <c r="M53" s="992">
        <v>5</v>
      </c>
      <c r="N53" s="992">
        <v>5</v>
      </c>
      <c r="O53" s="992">
        <v>5</v>
      </c>
      <c r="P53" s="992">
        <v>5</v>
      </c>
      <c r="Q53" s="992">
        <v>5</v>
      </c>
      <c r="R53" s="992">
        <v>5</v>
      </c>
      <c r="S53" s="992">
        <v>5</v>
      </c>
      <c r="T53" s="992">
        <v>5</v>
      </c>
      <c r="U53" s="992">
        <v>5</v>
      </c>
      <c r="V53" s="622">
        <f t="shared" si="4"/>
        <v>85</v>
      </c>
      <c r="W53" s="767"/>
      <c r="X53" s="997">
        <f t="shared" si="5"/>
        <v>0</v>
      </c>
      <c r="Y53" s="663"/>
      <c r="Z53" s="663"/>
      <c r="AA53" s="663"/>
      <c r="AB53" s="663"/>
      <c r="AC53" s="663"/>
      <c r="AD53" s="663"/>
      <c r="AE53" s="663"/>
      <c r="AF53" s="663"/>
      <c r="AG53" s="663"/>
      <c r="AH53" s="663"/>
      <c r="AI53" s="663"/>
      <c r="AJ53" s="663"/>
      <c r="AK53" s="663"/>
      <c r="AL53" s="663"/>
      <c r="AM53" s="663"/>
      <c r="AN53" s="663"/>
      <c r="AO53" s="663"/>
      <c r="AP53" s="663"/>
      <c r="AQ53" s="663"/>
      <c r="AR53" s="663"/>
      <c r="AS53" s="663"/>
      <c r="AT53" s="663"/>
      <c r="AU53" s="663"/>
      <c r="AV53" s="663"/>
      <c r="AW53" s="663"/>
      <c r="AX53" s="663"/>
      <c r="AY53" s="663"/>
      <c r="AZ53" s="663"/>
      <c r="BA53" s="663"/>
      <c r="BB53" s="663"/>
      <c r="BC53" s="663"/>
      <c r="BD53" s="663"/>
      <c r="BE53" s="663"/>
      <c r="BF53" s="663"/>
      <c r="BG53" s="663"/>
      <c r="BH53" s="663"/>
      <c r="BI53" s="663"/>
      <c r="BJ53" s="663"/>
      <c r="BK53" s="663"/>
      <c r="BL53" s="663"/>
      <c r="BM53" s="663"/>
      <c r="BN53" s="663"/>
      <c r="BO53" s="663"/>
      <c r="BP53" s="663"/>
      <c r="BQ53" s="663"/>
      <c r="BR53" s="663"/>
      <c r="BS53" s="663"/>
      <c r="BT53" s="663"/>
      <c r="BU53" s="663"/>
      <c r="BV53" s="663"/>
      <c r="BW53" s="663"/>
      <c r="BX53" s="663"/>
      <c r="BY53" s="663"/>
      <c r="BZ53" s="663"/>
      <c r="CA53" s="663"/>
      <c r="CB53" s="663"/>
      <c r="CC53" s="663"/>
      <c r="CD53" s="663"/>
      <c r="CE53" s="663"/>
      <c r="CF53" s="663"/>
      <c r="CG53" s="663"/>
      <c r="CH53" s="663"/>
      <c r="CI53" s="663"/>
      <c r="CJ53" s="663"/>
      <c r="CK53" s="663"/>
      <c r="CL53" s="663"/>
    </row>
    <row r="54" spans="1:90" s="603" customFormat="1">
      <c r="A54" s="1015" t="s">
        <v>2172</v>
      </c>
      <c r="B54" s="1016" t="s">
        <v>1010</v>
      </c>
      <c r="C54" s="1406" t="s">
        <v>985</v>
      </c>
      <c r="D54" s="1018" t="s">
        <v>11</v>
      </c>
      <c r="E54" s="695">
        <v>5</v>
      </c>
      <c r="F54" s="695">
        <v>5</v>
      </c>
      <c r="G54" s="695">
        <v>5</v>
      </c>
      <c r="H54" s="992">
        <v>5</v>
      </c>
      <c r="I54" s="992">
        <v>5</v>
      </c>
      <c r="J54" s="992">
        <v>5</v>
      </c>
      <c r="K54" s="992">
        <v>5</v>
      </c>
      <c r="L54" s="992">
        <v>5</v>
      </c>
      <c r="M54" s="992">
        <v>5</v>
      </c>
      <c r="N54" s="992">
        <v>5</v>
      </c>
      <c r="O54" s="992">
        <v>5</v>
      </c>
      <c r="P54" s="992">
        <v>5</v>
      </c>
      <c r="Q54" s="992">
        <v>5</v>
      </c>
      <c r="R54" s="992">
        <v>5</v>
      </c>
      <c r="S54" s="992">
        <v>5</v>
      </c>
      <c r="T54" s="992">
        <v>5</v>
      </c>
      <c r="U54" s="992">
        <v>5</v>
      </c>
      <c r="V54" s="622">
        <f t="shared" si="4"/>
        <v>85</v>
      </c>
      <c r="W54" s="767"/>
      <c r="X54" s="997">
        <f t="shared" si="5"/>
        <v>0</v>
      </c>
      <c r="Y54" s="663"/>
      <c r="Z54" s="663"/>
      <c r="AA54" s="663"/>
      <c r="AB54" s="663"/>
      <c r="AC54" s="663"/>
      <c r="AD54" s="663"/>
      <c r="AE54" s="663"/>
      <c r="AF54" s="663"/>
      <c r="AG54" s="663"/>
      <c r="AH54" s="663"/>
      <c r="AI54" s="663"/>
      <c r="AJ54" s="663"/>
      <c r="AK54" s="663"/>
      <c r="AL54" s="663"/>
      <c r="AM54" s="663"/>
      <c r="AN54" s="663"/>
      <c r="AO54" s="663"/>
      <c r="AP54" s="663"/>
      <c r="AQ54" s="663"/>
      <c r="AR54" s="663"/>
      <c r="AS54" s="663"/>
      <c r="AT54" s="663"/>
      <c r="AU54" s="663"/>
      <c r="AV54" s="663"/>
      <c r="AW54" s="663"/>
      <c r="AX54" s="663"/>
      <c r="AY54" s="663"/>
      <c r="AZ54" s="663"/>
      <c r="BA54" s="663"/>
      <c r="BB54" s="663"/>
      <c r="BC54" s="663"/>
      <c r="BD54" s="663"/>
      <c r="BE54" s="663"/>
      <c r="BF54" s="663"/>
      <c r="BG54" s="663"/>
      <c r="BH54" s="663"/>
      <c r="BI54" s="663"/>
      <c r="BJ54" s="663"/>
      <c r="BK54" s="663"/>
      <c r="BL54" s="663"/>
      <c r="BM54" s="663"/>
      <c r="BN54" s="663"/>
      <c r="BO54" s="663"/>
      <c r="BP54" s="663"/>
      <c r="BQ54" s="663"/>
      <c r="BR54" s="663"/>
      <c r="BS54" s="663"/>
      <c r="BT54" s="663"/>
      <c r="BU54" s="663"/>
      <c r="BV54" s="663"/>
      <c r="BW54" s="663"/>
      <c r="BX54" s="663"/>
      <c r="BY54" s="663"/>
      <c r="BZ54" s="663"/>
      <c r="CA54" s="663"/>
      <c r="CB54" s="663"/>
      <c r="CC54" s="663"/>
      <c r="CD54" s="663"/>
      <c r="CE54" s="663"/>
      <c r="CF54" s="663"/>
      <c r="CG54" s="663"/>
      <c r="CH54" s="663"/>
      <c r="CI54" s="663"/>
      <c r="CJ54" s="663"/>
      <c r="CK54" s="663"/>
      <c r="CL54" s="663"/>
    </row>
    <row r="55" spans="1:90" s="603" customFormat="1">
      <c r="A55" s="1015" t="s">
        <v>2173</v>
      </c>
      <c r="B55" s="1016" t="s">
        <v>1073</v>
      </c>
      <c r="C55" s="1406" t="s">
        <v>985</v>
      </c>
      <c r="D55" s="1018" t="s">
        <v>11</v>
      </c>
      <c r="E55" s="695">
        <v>5</v>
      </c>
      <c r="F55" s="695">
        <v>5</v>
      </c>
      <c r="G55" s="695">
        <v>5</v>
      </c>
      <c r="H55" s="992">
        <v>5</v>
      </c>
      <c r="I55" s="992">
        <v>5</v>
      </c>
      <c r="J55" s="992">
        <v>5</v>
      </c>
      <c r="K55" s="992">
        <v>5</v>
      </c>
      <c r="L55" s="992">
        <v>5</v>
      </c>
      <c r="M55" s="992">
        <v>5</v>
      </c>
      <c r="N55" s="992">
        <v>5</v>
      </c>
      <c r="O55" s="992">
        <v>5</v>
      </c>
      <c r="P55" s="992">
        <v>5</v>
      </c>
      <c r="Q55" s="992">
        <v>5</v>
      </c>
      <c r="R55" s="992">
        <v>5</v>
      </c>
      <c r="S55" s="992">
        <v>5</v>
      </c>
      <c r="T55" s="992">
        <v>5</v>
      </c>
      <c r="U55" s="992">
        <v>5</v>
      </c>
      <c r="V55" s="622">
        <f t="shared" si="4"/>
        <v>85</v>
      </c>
      <c r="W55" s="767"/>
      <c r="X55" s="997">
        <f t="shared" si="5"/>
        <v>0</v>
      </c>
      <c r="Y55" s="663"/>
      <c r="Z55" s="663"/>
      <c r="AA55" s="663"/>
      <c r="AB55" s="663"/>
      <c r="AC55" s="663"/>
      <c r="AD55" s="663"/>
      <c r="AE55" s="663"/>
      <c r="AF55" s="663"/>
      <c r="AG55" s="663"/>
      <c r="AH55" s="663"/>
      <c r="AI55" s="663"/>
      <c r="AJ55" s="663"/>
      <c r="AK55" s="663"/>
      <c r="AL55" s="663"/>
      <c r="AM55" s="663"/>
      <c r="AN55" s="663"/>
      <c r="AO55" s="663"/>
      <c r="AP55" s="663"/>
      <c r="AQ55" s="663"/>
      <c r="AR55" s="663"/>
      <c r="AS55" s="663"/>
      <c r="AT55" s="663"/>
      <c r="AU55" s="663"/>
      <c r="AV55" s="663"/>
      <c r="AW55" s="663"/>
      <c r="AX55" s="663"/>
      <c r="AY55" s="663"/>
      <c r="AZ55" s="663"/>
      <c r="BA55" s="663"/>
      <c r="BB55" s="663"/>
      <c r="BC55" s="663"/>
      <c r="BD55" s="663"/>
      <c r="BE55" s="663"/>
      <c r="BF55" s="663"/>
      <c r="BG55" s="663"/>
      <c r="BH55" s="663"/>
      <c r="BI55" s="663"/>
      <c r="BJ55" s="663"/>
      <c r="BK55" s="663"/>
      <c r="BL55" s="663"/>
      <c r="BM55" s="663"/>
      <c r="BN55" s="663"/>
      <c r="BO55" s="663"/>
      <c r="BP55" s="663"/>
      <c r="BQ55" s="663"/>
      <c r="BR55" s="663"/>
      <c r="BS55" s="663"/>
      <c r="BT55" s="663"/>
      <c r="BU55" s="663"/>
      <c r="BV55" s="663"/>
      <c r="BW55" s="663"/>
      <c r="BX55" s="663"/>
      <c r="BY55" s="663"/>
      <c r="BZ55" s="663"/>
      <c r="CA55" s="663"/>
      <c r="CB55" s="663"/>
      <c r="CC55" s="663"/>
      <c r="CD55" s="663"/>
      <c r="CE55" s="663"/>
      <c r="CF55" s="663"/>
      <c r="CG55" s="663"/>
      <c r="CH55" s="663"/>
      <c r="CI55" s="663"/>
      <c r="CJ55" s="663"/>
      <c r="CK55" s="663"/>
      <c r="CL55" s="663"/>
    </row>
    <row r="56" spans="1:90" s="603" customFormat="1">
      <c r="A56" s="1015" t="s">
        <v>2174</v>
      </c>
      <c r="B56" s="1016" t="s">
        <v>1074</v>
      </c>
      <c r="C56" s="1406" t="s">
        <v>985</v>
      </c>
      <c r="D56" s="1018" t="s">
        <v>11</v>
      </c>
      <c r="E56" s="695">
        <v>5</v>
      </c>
      <c r="F56" s="695">
        <v>5</v>
      </c>
      <c r="G56" s="695">
        <v>5</v>
      </c>
      <c r="H56" s="992">
        <v>5</v>
      </c>
      <c r="I56" s="992">
        <v>5</v>
      </c>
      <c r="J56" s="992">
        <v>5</v>
      </c>
      <c r="K56" s="992">
        <v>5</v>
      </c>
      <c r="L56" s="992">
        <v>5</v>
      </c>
      <c r="M56" s="992">
        <v>5</v>
      </c>
      <c r="N56" s="992">
        <v>5</v>
      </c>
      <c r="O56" s="992">
        <v>5</v>
      </c>
      <c r="P56" s="992">
        <v>5</v>
      </c>
      <c r="Q56" s="992">
        <v>5</v>
      </c>
      <c r="R56" s="992">
        <v>5</v>
      </c>
      <c r="S56" s="992">
        <v>5</v>
      </c>
      <c r="T56" s="992">
        <v>5</v>
      </c>
      <c r="U56" s="992">
        <v>5</v>
      </c>
      <c r="V56" s="622">
        <f t="shared" si="4"/>
        <v>85</v>
      </c>
      <c r="W56" s="767"/>
      <c r="X56" s="997">
        <f t="shared" si="5"/>
        <v>0</v>
      </c>
      <c r="Y56" s="663"/>
      <c r="Z56" s="663"/>
      <c r="AA56" s="663"/>
      <c r="AB56" s="663"/>
      <c r="AC56" s="663"/>
      <c r="AD56" s="663"/>
      <c r="AE56" s="663"/>
      <c r="AF56" s="663"/>
      <c r="AG56" s="663"/>
      <c r="AH56" s="663"/>
      <c r="AI56" s="663"/>
      <c r="AJ56" s="663"/>
      <c r="AK56" s="663"/>
      <c r="AL56" s="663"/>
      <c r="AM56" s="663"/>
      <c r="AN56" s="663"/>
      <c r="AO56" s="663"/>
      <c r="AP56" s="663"/>
      <c r="AQ56" s="663"/>
      <c r="AR56" s="663"/>
      <c r="AS56" s="663"/>
      <c r="AT56" s="663"/>
      <c r="AU56" s="663"/>
      <c r="AV56" s="663"/>
      <c r="AW56" s="663"/>
      <c r="AX56" s="663"/>
      <c r="AY56" s="663"/>
      <c r="AZ56" s="663"/>
      <c r="BA56" s="663"/>
      <c r="BB56" s="663"/>
      <c r="BC56" s="663"/>
      <c r="BD56" s="663"/>
      <c r="BE56" s="663"/>
      <c r="BF56" s="663"/>
      <c r="BG56" s="663"/>
      <c r="BH56" s="663"/>
      <c r="BI56" s="663"/>
      <c r="BJ56" s="663"/>
      <c r="BK56" s="663"/>
      <c r="BL56" s="663"/>
      <c r="BM56" s="663"/>
      <c r="BN56" s="663"/>
      <c r="BO56" s="663"/>
      <c r="BP56" s="663"/>
      <c r="BQ56" s="663"/>
      <c r="BR56" s="663"/>
      <c r="BS56" s="663"/>
      <c r="BT56" s="663"/>
      <c r="BU56" s="663"/>
      <c r="BV56" s="663"/>
      <c r="BW56" s="663"/>
      <c r="BX56" s="663"/>
      <c r="BY56" s="663"/>
      <c r="BZ56" s="663"/>
      <c r="CA56" s="663"/>
      <c r="CB56" s="663"/>
      <c r="CC56" s="663"/>
      <c r="CD56" s="663"/>
      <c r="CE56" s="663"/>
      <c r="CF56" s="663"/>
      <c r="CG56" s="663"/>
      <c r="CH56" s="663"/>
      <c r="CI56" s="663"/>
      <c r="CJ56" s="663"/>
      <c r="CK56" s="663"/>
      <c r="CL56" s="663"/>
    </row>
    <row r="57" spans="1:90" s="642" customFormat="1">
      <c r="A57" s="698"/>
      <c r="B57" s="699"/>
      <c r="C57" s="700"/>
      <c r="D57" s="700"/>
      <c r="E57" s="700"/>
      <c r="F57" s="700"/>
      <c r="G57" s="700"/>
      <c r="H57" s="700"/>
      <c r="I57" s="700"/>
      <c r="J57" s="700"/>
      <c r="K57" s="700"/>
      <c r="L57" s="700"/>
      <c r="M57" s="700"/>
      <c r="N57" s="700"/>
      <c r="O57" s="700"/>
      <c r="P57" s="700"/>
      <c r="Q57" s="700"/>
      <c r="R57" s="700"/>
      <c r="S57" s="700"/>
      <c r="T57" s="700"/>
      <c r="U57" s="700"/>
      <c r="V57" s="769"/>
      <c r="W57" s="769"/>
      <c r="X57" s="777"/>
    </row>
    <row r="58" spans="1:90" s="642" customFormat="1">
      <c r="A58" s="698"/>
      <c r="B58" s="699"/>
      <c r="C58" s="700"/>
      <c r="D58" s="700"/>
      <c r="E58" s="700"/>
      <c r="F58" s="700"/>
      <c r="G58" s="700"/>
      <c r="H58" s="700"/>
      <c r="I58" s="700"/>
      <c r="J58" s="700"/>
      <c r="K58" s="700"/>
      <c r="L58" s="700"/>
      <c r="M58" s="700"/>
      <c r="N58" s="700"/>
      <c r="O58" s="700"/>
      <c r="P58" s="700"/>
      <c r="Q58" s="700"/>
      <c r="R58" s="700"/>
      <c r="S58" s="700"/>
      <c r="T58" s="700"/>
      <c r="U58" s="700"/>
      <c r="W58" s="769"/>
      <c r="X58" s="777"/>
    </row>
    <row r="59" spans="1:90" s="642" customFormat="1">
      <c r="A59" s="698"/>
      <c r="B59" s="699"/>
      <c r="C59" s="700"/>
      <c r="D59" s="700"/>
      <c r="E59" s="700"/>
      <c r="F59" s="700"/>
      <c r="G59" s="700"/>
      <c r="H59" s="700"/>
      <c r="I59" s="700"/>
      <c r="J59" s="700"/>
      <c r="K59" s="700"/>
      <c r="L59" s="700"/>
      <c r="M59" s="700"/>
      <c r="N59" s="700"/>
      <c r="O59" s="700"/>
      <c r="P59" s="700"/>
      <c r="Q59" s="700"/>
      <c r="R59" s="700"/>
      <c r="S59" s="700"/>
      <c r="T59" s="700"/>
      <c r="U59" s="700"/>
      <c r="W59" s="769"/>
      <c r="X59" s="777"/>
    </row>
    <row r="60" spans="1:90" s="642" customFormat="1">
      <c r="A60" s="698"/>
      <c r="B60" s="699"/>
      <c r="C60" s="700"/>
      <c r="D60" s="700"/>
      <c r="E60" s="700"/>
      <c r="F60" s="700"/>
      <c r="G60" s="700"/>
      <c r="H60" s="700"/>
      <c r="I60" s="700"/>
      <c r="J60" s="700"/>
      <c r="K60" s="700"/>
      <c r="L60" s="700"/>
      <c r="M60" s="700"/>
      <c r="N60" s="700"/>
      <c r="O60" s="700"/>
      <c r="P60" s="700"/>
      <c r="Q60" s="700"/>
      <c r="R60" s="700"/>
      <c r="S60" s="700"/>
      <c r="T60" s="700"/>
      <c r="U60" s="700"/>
      <c r="W60" s="769"/>
      <c r="X60" s="777"/>
    </row>
    <row r="61" spans="1:90" s="642" customFormat="1">
      <c r="A61" s="698"/>
      <c r="B61" s="699"/>
      <c r="C61" s="700"/>
      <c r="D61" s="700"/>
      <c r="E61" s="700"/>
      <c r="F61" s="700"/>
      <c r="G61" s="700"/>
      <c r="H61" s="700"/>
      <c r="I61" s="700"/>
      <c r="J61" s="700"/>
      <c r="K61" s="700"/>
      <c r="L61" s="700"/>
      <c r="M61" s="700"/>
      <c r="N61" s="700"/>
      <c r="O61" s="700"/>
      <c r="P61" s="700"/>
      <c r="Q61" s="700"/>
      <c r="R61" s="700"/>
      <c r="S61" s="700"/>
      <c r="T61" s="700"/>
      <c r="U61" s="700"/>
      <c r="W61" s="769"/>
      <c r="X61" s="777"/>
    </row>
    <row r="62" spans="1:90" s="642" customFormat="1">
      <c r="A62" s="698"/>
      <c r="B62" s="699"/>
      <c r="C62" s="700"/>
      <c r="D62" s="700"/>
      <c r="E62" s="700"/>
      <c r="F62" s="700"/>
      <c r="G62" s="700"/>
      <c r="H62" s="700"/>
      <c r="I62" s="700"/>
      <c r="J62" s="700"/>
      <c r="K62" s="700"/>
      <c r="L62" s="700"/>
      <c r="M62" s="700"/>
      <c r="N62" s="700"/>
      <c r="O62" s="700"/>
      <c r="P62" s="700"/>
      <c r="Q62" s="700"/>
      <c r="R62" s="700"/>
      <c r="S62" s="700"/>
      <c r="T62" s="700"/>
      <c r="U62" s="700"/>
      <c r="W62" s="769"/>
      <c r="X62" s="777"/>
    </row>
    <row r="63" spans="1:90" s="642" customFormat="1">
      <c r="A63" s="698"/>
      <c r="B63" s="699"/>
      <c r="C63" s="700"/>
      <c r="D63" s="700"/>
      <c r="E63" s="700"/>
      <c r="F63" s="700"/>
      <c r="G63" s="700"/>
      <c r="H63" s="700"/>
      <c r="I63" s="700"/>
      <c r="J63" s="700"/>
      <c r="K63" s="700"/>
      <c r="L63" s="700"/>
      <c r="M63" s="700"/>
      <c r="N63" s="700"/>
      <c r="O63" s="700"/>
      <c r="P63" s="700"/>
      <c r="Q63" s="700"/>
      <c r="R63" s="700"/>
      <c r="S63" s="700"/>
      <c r="T63" s="700"/>
      <c r="U63" s="700"/>
      <c r="W63" s="769"/>
      <c r="X63" s="777"/>
    </row>
    <row r="64" spans="1:90" s="642" customFormat="1">
      <c r="A64" s="698"/>
      <c r="B64" s="699"/>
      <c r="C64" s="700"/>
      <c r="D64" s="700"/>
      <c r="E64" s="700"/>
      <c r="F64" s="700"/>
      <c r="G64" s="700"/>
      <c r="H64" s="700"/>
      <c r="I64" s="700"/>
      <c r="J64" s="700"/>
      <c r="K64" s="700"/>
      <c r="L64" s="700"/>
      <c r="M64" s="700"/>
      <c r="N64" s="700"/>
      <c r="O64" s="700"/>
      <c r="P64" s="700"/>
      <c r="Q64" s="700"/>
      <c r="R64" s="700"/>
      <c r="S64" s="700"/>
      <c r="T64" s="700"/>
      <c r="U64" s="700"/>
      <c r="X64" s="638"/>
    </row>
    <row r="65" spans="1:24" s="642" customFormat="1">
      <c r="A65" s="698"/>
      <c r="B65" s="699"/>
      <c r="C65" s="700"/>
      <c r="D65" s="700"/>
      <c r="E65" s="700"/>
      <c r="F65" s="700"/>
      <c r="G65" s="700"/>
      <c r="H65" s="700"/>
      <c r="I65" s="700"/>
      <c r="J65" s="700"/>
      <c r="K65" s="700"/>
      <c r="L65" s="700"/>
      <c r="M65" s="700"/>
      <c r="N65" s="700"/>
      <c r="O65" s="700"/>
      <c r="P65" s="700"/>
      <c r="Q65" s="700"/>
      <c r="R65" s="700"/>
      <c r="S65" s="700"/>
      <c r="T65" s="700"/>
      <c r="U65" s="700"/>
      <c r="X65" s="638"/>
    </row>
    <row r="66" spans="1:24" s="642" customFormat="1">
      <c r="A66" s="698"/>
      <c r="B66" s="699"/>
      <c r="C66" s="700"/>
      <c r="D66" s="700"/>
      <c r="E66" s="700"/>
      <c r="F66" s="700"/>
      <c r="G66" s="700"/>
      <c r="H66" s="700"/>
      <c r="I66" s="700"/>
      <c r="J66" s="700"/>
      <c r="K66" s="700"/>
      <c r="L66" s="700"/>
      <c r="M66" s="700"/>
      <c r="N66" s="700"/>
      <c r="O66" s="700"/>
      <c r="P66" s="700"/>
      <c r="Q66" s="700"/>
      <c r="R66" s="700"/>
      <c r="S66" s="700"/>
      <c r="T66" s="700"/>
      <c r="U66" s="700"/>
      <c r="X66" s="638"/>
    </row>
    <row r="67" spans="1:24" s="642" customFormat="1">
      <c r="A67" s="698"/>
      <c r="B67" s="699"/>
      <c r="C67" s="700"/>
      <c r="D67" s="700"/>
      <c r="E67" s="700"/>
      <c r="F67" s="700"/>
      <c r="G67" s="700"/>
      <c r="H67" s="700"/>
      <c r="I67" s="700"/>
      <c r="J67" s="700"/>
      <c r="K67" s="700"/>
      <c r="L67" s="700"/>
      <c r="M67" s="700"/>
      <c r="N67" s="700"/>
      <c r="O67" s="700"/>
      <c r="P67" s="700"/>
      <c r="Q67" s="700"/>
      <c r="R67" s="700"/>
      <c r="S67" s="700"/>
      <c r="T67" s="700"/>
      <c r="U67" s="700"/>
      <c r="X67" s="638"/>
    </row>
    <row r="68" spans="1:24" s="642" customFormat="1">
      <c r="A68" s="698"/>
      <c r="B68" s="699"/>
      <c r="C68" s="700"/>
      <c r="D68" s="700"/>
      <c r="E68" s="700"/>
      <c r="F68" s="700"/>
      <c r="G68" s="700"/>
      <c r="H68" s="700"/>
      <c r="I68" s="700"/>
      <c r="J68" s="700"/>
      <c r="K68" s="700"/>
      <c r="L68" s="700"/>
      <c r="M68" s="700"/>
      <c r="N68" s="700"/>
      <c r="O68" s="700"/>
      <c r="P68" s="700"/>
      <c r="Q68" s="700"/>
      <c r="R68" s="700"/>
      <c r="S68" s="700"/>
      <c r="T68" s="700"/>
      <c r="U68" s="700"/>
      <c r="X68" s="638"/>
    </row>
    <row r="69" spans="1:24" s="642" customFormat="1">
      <c r="A69" s="698"/>
      <c r="B69" s="699"/>
      <c r="C69" s="700"/>
      <c r="D69" s="700"/>
      <c r="E69" s="700"/>
      <c r="F69" s="700"/>
      <c r="G69" s="700"/>
      <c r="H69" s="700"/>
      <c r="I69" s="700"/>
      <c r="J69" s="700"/>
      <c r="K69" s="700"/>
      <c r="L69" s="700"/>
      <c r="M69" s="700"/>
      <c r="N69" s="700"/>
      <c r="O69" s="700"/>
      <c r="P69" s="700"/>
      <c r="Q69" s="700"/>
      <c r="R69" s="700"/>
      <c r="S69" s="700"/>
      <c r="T69" s="700"/>
      <c r="U69" s="700"/>
      <c r="X69" s="638"/>
    </row>
    <row r="70" spans="1:24" s="642" customFormat="1">
      <c r="A70" s="698"/>
      <c r="B70" s="699"/>
      <c r="C70" s="700"/>
      <c r="D70" s="700"/>
      <c r="E70" s="700"/>
      <c r="F70" s="700"/>
      <c r="G70" s="700"/>
      <c r="H70" s="700"/>
      <c r="I70" s="700"/>
      <c r="J70" s="700"/>
      <c r="K70" s="700"/>
      <c r="L70" s="700"/>
      <c r="M70" s="700"/>
      <c r="N70" s="700"/>
      <c r="O70" s="700"/>
      <c r="P70" s="700"/>
      <c r="Q70" s="700"/>
      <c r="R70" s="700"/>
      <c r="S70" s="700"/>
      <c r="T70" s="700"/>
      <c r="U70" s="700"/>
      <c r="X70" s="638"/>
    </row>
    <row r="71" spans="1:24" s="642" customFormat="1">
      <c r="A71" s="698"/>
      <c r="B71" s="699"/>
      <c r="C71" s="700"/>
      <c r="D71" s="700"/>
      <c r="E71" s="700"/>
      <c r="F71" s="700"/>
      <c r="G71" s="700"/>
      <c r="H71" s="700"/>
      <c r="I71" s="700"/>
      <c r="J71" s="700"/>
      <c r="K71" s="700"/>
      <c r="L71" s="700"/>
      <c r="M71" s="700"/>
      <c r="N71" s="700"/>
      <c r="O71" s="700"/>
      <c r="P71" s="700"/>
      <c r="Q71" s="700"/>
      <c r="R71" s="700"/>
      <c r="S71" s="700"/>
      <c r="T71" s="700"/>
      <c r="U71" s="700"/>
      <c r="X71" s="638"/>
    </row>
    <row r="72" spans="1:24" s="642" customFormat="1">
      <c r="A72" s="698"/>
      <c r="B72" s="699"/>
      <c r="C72" s="700"/>
      <c r="D72" s="700"/>
      <c r="E72" s="700"/>
      <c r="F72" s="700"/>
      <c r="G72" s="700"/>
      <c r="H72" s="700"/>
      <c r="I72" s="700"/>
      <c r="J72" s="700"/>
      <c r="K72" s="700"/>
      <c r="L72" s="700"/>
      <c r="M72" s="700"/>
      <c r="N72" s="700"/>
      <c r="O72" s="700"/>
      <c r="P72" s="700"/>
      <c r="Q72" s="700"/>
      <c r="R72" s="700"/>
      <c r="S72" s="700"/>
      <c r="T72" s="700"/>
      <c r="U72" s="700"/>
      <c r="X72" s="638"/>
    </row>
    <row r="73" spans="1:24" s="642" customFormat="1">
      <c r="A73" s="698"/>
      <c r="B73" s="699"/>
      <c r="C73" s="700"/>
      <c r="D73" s="700"/>
      <c r="E73" s="700"/>
      <c r="F73" s="700"/>
      <c r="G73" s="700"/>
      <c r="H73" s="700"/>
      <c r="I73" s="700"/>
      <c r="J73" s="700"/>
      <c r="K73" s="700"/>
      <c r="L73" s="700"/>
      <c r="M73" s="700"/>
      <c r="N73" s="700"/>
      <c r="O73" s="700"/>
      <c r="P73" s="700"/>
      <c r="Q73" s="700"/>
      <c r="R73" s="700"/>
      <c r="S73" s="700"/>
      <c r="T73" s="700"/>
      <c r="U73" s="700"/>
      <c r="X73" s="638"/>
    </row>
    <row r="74" spans="1:24" s="642" customFormat="1">
      <c r="A74" s="698"/>
      <c r="B74" s="699"/>
      <c r="C74" s="700"/>
      <c r="D74" s="700"/>
      <c r="E74" s="700"/>
      <c r="F74" s="700"/>
      <c r="G74" s="700"/>
      <c r="H74" s="700"/>
      <c r="I74" s="700"/>
      <c r="J74" s="700"/>
      <c r="K74" s="700"/>
      <c r="L74" s="700"/>
      <c r="M74" s="700"/>
      <c r="N74" s="700"/>
      <c r="O74" s="700"/>
      <c r="P74" s="700"/>
      <c r="Q74" s="700"/>
      <c r="R74" s="700"/>
      <c r="S74" s="700"/>
      <c r="T74" s="700"/>
      <c r="U74" s="700"/>
      <c r="X74" s="638"/>
    </row>
    <row r="75" spans="1:24" s="642" customFormat="1">
      <c r="A75" s="698"/>
      <c r="B75" s="699"/>
      <c r="C75" s="700"/>
      <c r="D75" s="700"/>
      <c r="E75" s="700"/>
      <c r="F75" s="700"/>
      <c r="G75" s="700"/>
      <c r="H75" s="700"/>
      <c r="I75" s="700"/>
      <c r="J75" s="700"/>
      <c r="K75" s="700"/>
      <c r="L75" s="700"/>
      <c r="M75" s="700"/>
      <c r="N75" s="700"/>
      <c r="O75" s="700"/>
      <c r="P75" s="700"/>
      <c r="Q75" s="700"/>
      <c r="R75" s="700"/>
      <c r="S75" s="700"/>
      <c r="T75" s="700"/>
      <c r="U75" s="700"/>
      <c r="X75" s="638"/>
    </row>
    <row r="76" spans="1:24" s="642" customFormat="1">
      <c r="A76" s="698"/>
      <c r="B76" s="699"/>
      <c r="C76" s="700"/>
      <c r="D76" s="700"/>
      <c r="E76" s="700"/>
      <c r="F76" s="700"/>
      <c r="G76" s="700"/>
      <c r="H76" s="700"/>
      <c r="I76" s="700"/>
      <c r="J76" s="700"/>
      <c r="K76" s="700"/>
      <c r="L76" s="700"/>
      <c r="M76" s="700"/>
      <c r="N76" s="700"/>
      <c r="O76" s="700"/>
      <c r="P76" s="700"/>
      <c r="Q76" s="700"/>
      <c r="R76" s="700"/>
      <c r="S76" s="700"/>
      <c r="T76" s="700"/>
      <c r="U76" s="700"/>
      <c r="X76" s="638"/>
    </row>
    <row r="77" spans="1:24" s="642" customFormat="1">
      <c r="A77" s="698"/>
      <c r="B77" s="699"/>
      <c r="C77" s="700"/>
      <c r="D77" s="700"/>
      <c r="E77" s="700"/>
      <c r="F77" s="700"/>
      <c r="G77" s="700"/>
      <c r="H77" s="700"/>
      <c r="I77" s="700"/>
      <c r="J77" s="700"/>
      <c r="K77" s="700"/>
      <c r="L77" s="700"/>
      <c r="M77" s="700"/>
      <c r="N77" s="700"/>
      <c r="O77" s="700"/>
      <c r="P77" s="700"/>
      <c r="Q77" s="700"/>
      <c r="R77" s="700"/>
      <c r="S77" s="700"/>
      <c r="T77" s="700"/>
      <c r="U77" s="700"/>
      <c r="X77" s="638"/>
    </row>
    <row r="78" spans="1:24" s="642" customFormat="1">
      <c r="A78" s="698"/>
      <c r="B78" s="699"/>
      <c r="C78" s="700"/>
      <c r="D78" s="700"/>
      <c r="E78" s="700"/>
      <c r="F78" s="700"/>
      <c r="G78" s="700"/>
      <c r="H78" s="700"/>
      <c r="I78" s="700"/>
      <c r="J78" s="700"/>
      <c r="K78" s="700"/>
      <c r="L78" s="700"/>
      <c r="M78" s="700"/>
      <c r="N78" s="700"/>
      <c r="O78" s="700"/>
      <c r="P78" s="700"/>
      <c r="Q78" s="700"/>
      <c r="R78" s="700"/>
      <c r="S78" s="700"/>
      <c r="T78" s="700"/>
      <c r="U78" s="700"/>
      <c r="X78" s="638"/>
    </row>
    <row r="79" spans="1:24" s="642" customFormat="1">
      <c r="A79" s="698"/>
      <c r="B79" s="699"/>
      <c r="C79" s="700"/>
      <c r="D79" s="700"/>
      <c r="E79" s="700"/>
      <c r="F79" s="700"/>
      <c r="G79" s="700"/>
      <c r="H79" s="700"/>
      <c r="I79" s="700"/>
      <c r="J79" s="700"/>
      <c r="K79" s="700"/>
      <c r="L79" s="700"/>
      <c r="M79" s="700"/>
      <c r="N79" s="700"/>
      <c r="O79" s="700"/>
      <c r="P79" s="700"/>
      <c r="Q79" s="700"/>
      <c r="R79" s="700"/>
      <c r="S79" s="700"/>
      <c r="T79" s="700"/>
      <c r="U79" s="700"/>
      <c r="X79" s="638"/>
    </row>
    <row r="80" spans="1:24" s="642" customFormat="1">
      <c r="A80" s="698"/>
      <c r="B80" s="699"/>
      <c r="C80" s="700"/>
      <c r="D80" s="700"/>
      <c r="E80" s="700"/>
      <c r="F80" s="700"/>
      <c r="G80" s="700"/>
      <c r="H80" s="700"/>
      <c r="I80" s="700"/>
      <c r="J80" s="700"/>
      <c r="K80" s="700"/>
      <c r="L80" s="700"/>
      <c r="M80" s="700"/>
      <c r="N80" s="700"/>
      <c r="O80" s="700"/>
      <c r="P80" s="700"/>
      <c r="Q80" s="700"/>
      <c r="R80" s="700"/>
      <c r="S80" s="700"/>
      <c r="T80" s="700"/>
      <c r="U80" s="700"/>
      <c r="X80" s="638"/>
    </row>
    <row r="81" spans="1:24" s="642" customFormat="1">
      <c r="A81" s="698"/>
      <c r="B81" s="699"/>
      <c r="C81" s="700"/>
      <c r="D81" s="700"/>
      <c r="E81" s="700"/>
      <c r="F81" s="700"/>
      <c r="G81" s="700"/>
      <c r="H81" s="700"/>
      <c r="I81" s="700"/>
      <c r="J81" s="700"/>
      <c r="K81" s="700"/>
      <c r="L81" s="700"/>
      <c r="M81" s="700"/>
      <c r="N81" s="700"/>
      <c r="O81" s="700"/>
      <c r="P81" s="700"/>
      <c r="Q81" s="700"/>
      <c r="R81" s="700"/>
      <c r="S81" s="700"/>
      <c r="T81" s="700"/>
      <c r="U81" s="700"/>
      <c r="X81" s="638"/>
    </row>
    <row r="82" spans="1:24" s="642" customFormat="1">
      <c r="A82" s="698"/>
      <c r="B82" s="699"/>
      <c r="C82" s="700"/>
      <c r="D82" s="700"/>
      <c r="E82" s="700"/>
      <c r="F82" s="700"/>
      <c r="G82" s="700"/>
      <c r="H82" s="700"/>
      <c r="I82" s="700"/>
      <c r="J82" s="700"/>
      <c r="K82" s="700"/>
      <c r="L82" s="700"/>
      <c r="M82" s="700"/>
      <c r="N82" s="700"/>
      <c r="O82" s="700"/>
      <c r="P82" s="700"/>
      <c r="Q82" s="700"/>
      <c r="R82" s="700"/>
      <c r="S82" s="700"/>
      <c r="T82" s="700"/>
      <c r="U82" s="700"/>
      <c r="X82" s="638"/>
    </row>
    <row r="83" spans="1:24" s="642" customFormat="1">
      <c r="A83" s="698"/>
      <c r="B83" s="699"/>
      <c r="C83" s="700"/>
      <c r="D83" s="700"/>
      <c r="E83" s="700"/>
      <c r="F83" s="700"/>
      <c r="G83" s="700"/>
      <c r="H83" s="700"/>
      <c r="I83" s="700"/>
      <c r="J83" s="700"/>
      <c r="K83" s="700"/>
      <c r="L83" s="700"/>
      <c r="M83" s="700"/>
      <c r="N83" s="700"/>
      <c r="O83" s="700"/>
      <c r="P83" s="700"/>
      <c r="Q83" s="700"/>
      <c r="R83" s="700"/>
      <c r="S83" s="700"/>
      <c r="T83" s="700"/>
      <c r="U83" s="700"/>
      <c r="X83" s="638"/>
    </row>
    <row r="84" spans="1:24" s="642" customFormat="1">
      <c r="A84" s="698"/>
      <c r="B84" s="699"/>
      <c r="C84" s="700"/>
      <c r="D84" s="700"/>
      <c r="E84" s="700"/>
      <c r="F84" s="700"/>
      <c r="G84" s="700"/>
      <c r="H84" s="700"/>
      <c r="I84" s="700"/>
      <c r="J84" s="700"/>
      <c r="K84" s="700"/>
      <c r="L84" s="700"/>
      <c r="M84" s="700"/>
      <c r="N84" s="700"/>
      <c r="O84" s="700"/>
      <c r="P84" s="700"/>
      <c r="Q84" s="700"/>
      <c r="R84" s="700"/>
      <c r="S84" s="700"/>
      <c r="T84" s="700"/>
      <c r="U84" s="700"/>
      <c r="X84" s="638"/>
    </row>
    <row r="85" spans="1:24" s="642" customFormat="1">
      <c r="A85" s="698"/>
      <c r="B85" s="699"/>
      <c r="C85" s="700"/>
      <c r="D85" s="700"/>
      <c r="E85" s="700"/>
      <c r="F85" s="700"/>
      <c r="G85" s="700"/>
      <c r="H85" s="700"/>
      <c r="I85" s="700"/>
      <c r="J85" s="700"/>
      <c r="K85" s="700"/>
      <c r="L85" s="700"/>
      <c r="M85" s="700"/>
      <c r="N85" s="700"/>
      <c r="O85" s="700"/>
      <c r="P85" s="700"/>
      <c r="Q85" s="700"/>
      <c r="R85" s="700"/>
      <c r="S85" s="700"/>
      <c r="T85" s="700"/>
      <c r="U85" s="700"/>
      <c r="X85" s="638"/>
    </row>
    <row r="86" spans="1:24" s="642" customFormat="1">
      <c r="A86" s="698"/>
      <c r="B86" s="699"/>
      <c r="C86" s="700"/>
      <c r="D86" s="700"/>
      <c r="E86" s="700"/>
      <c r="F86" s="700"/>
      <c r="G86" s="700"/>
      <c r="H86" s="700"/>
      <c r="I86" s="700"/>
      <c r="J86" s="700"/>
      <c r="K86" s="700"/>
      <c r="L86" s="700"/>
      <c r="M86" s="700"/>
      <c r="N86" s="700"/>
      <c r="O86" s="700"/>
      <c r="P86" s="700"/>
      <c r="Q86" s="700"/>
      <c r="R86" s="700"/>
      <c r="S86" s="700"/>
      <c r="T86" s="700"/>
      <c r="U86" s="700"/>
      <c r="X86" s="638"/>
    </row>
    <row r="87" spans="1:24" s="642" customFormat="1">
      <c r="A87" s="698"/>
      <c r="B87" s="699"/>
      <c r="C87" s="700"/>
      <c r="D87" s="700"/>
      <c r="E87" s="700"/>
      <c r="F87" s="700"/>
      <c r="G87" s="700"/>
      <c r="H87" s="700"/>
      <c r="I87" s="700"/>
      <c r="J87" s="700"/>
      <c r="K87" s="700"/>
      <c r="L87" s="700"/>
      <c r="M87" s="700"/>
      <c r="N87" s="700"/>
      <c r="O87" s="700"/>
      <c r="P87" s="700"/>
      <c r="Q87" s="700"/>
      <c r="R87" s="700"/>
      <c r="S87" s="700"/>
      <c r="T87" s="700"/>
      <c r="U87" s="700"/>
      <c r="X87" s="638"/>
    </row>
    <row r="88" spans="1:24" s="642" customFormat="1">
      <c r="A88" s="698"/>
      <c r="B88" s="699"/>
      <c r="C88" s="700"/>
      <c r="D88" s="700"/>
      <c r="E88" s="700"/>
      <c r="F88" s="700"/>
      <c r="G88" s="700"/>
      <c r="H88" s="700"/>
      <c r="I88" s="700"/>
      <c r="J88" s="700"/>
      <c r="K88" s="700"/>
      <c r="L88" s="700"/>
      <c r="M88" s="700"/>
      <c r="N88" s="700"/>
      <c r="O88" s="700"/>
      <c r="P88" s="700"/>
      <c r="Q88" s="700"/>
      <c r="R88" s="700"/>
      <c r="S88" s="700"/>
      <c r="T88" s="700"/>
      <c r="U88" s="700"/>
      <c r="X88" s="638"/>
    </row>
    <row r="89" spans="1:24" s="642" customFormat="1">
      <c r="A89" s="698"/>
      <c r="B89" s="699"/>
      <c r="C89" s="700"/>
      <c r="D89" s="700"/>
      <c r="E89" s="700"/>
      <c r="F89" s="700"/>
      <c r="G89" s="700"/>
      <c r="H89" s="700"/>
      <c r="I89" s="700"/>
      <c r="J89" s="700"/>
      <c r="K89" s="700"/>
      <c r="L89" s="700"/>
      <c r="M89" s="700"/>
      <c r="N89" s="700"/>
      <c r="O89" s="700"/>
      <c r="P89" s="700"/>
      <c r="Q89" s="700"/>
      <c r="R89" s="700"/>
      <c r="S89" s="700"/>
      <c r="T89" s="700"/>
      <c r="U89" s="700"/>
      <c r="X89" s="638"/>
    </row>
    <row r="90" spans="1:24" s="642" customFormat="1">
      <c r="A90" s="698"/>
      <c r="B90" s="699"/>
      <c r="C90" s="700"/>
      <c r="D90" s="700"/>
      <c r="E90" s="700"/>
      <c r="F90" s="700"/>
      <c r="G90" s="700"/>
      <c r="H90" s="700"/>
      <c r="I90" s="700"/>
      <c r="J90" s="700"/>
      <c r="K90" s="700"/>
      <c r="L90" s="700"/>
      <c r="M90" s="700"/>
      <c r="N90" s="700"/>
      <c r="O90" s="700"/>
      <c r="P90" s="700"/>
      <c r="Q90" s="700"/>
      <c r="R90" s="700"/>
      <c r="S90" s="700"/>
      <c r="T90" s="700"/>
      <c r="U90" s="700"/>
      <c r="X90" s="638"/>
    </row>
    <row r="91" spans="1:24" s="642" customFormat="1">
      <c r="A91" s="698"/>
      <c r="B91" s="699"/>
      <c r="C91" s="700"/>
      <c r="D91" s="700"/>
      <c r="E91" s="700"/>
      <c r="F91" s="700"/>
      <c r="G91" s="700"/>
      <c r="H91" s="700"/>
      <c r="I91" s="700"/>
      <c r="J91" s="700"/>
      <c r="K91" s="700"/>
      <c r="L91" s="700"/>
      <c r="M91" s="700"/>
      <c r="N91" s="700"/>
      <c r="O91" s="700"/>
      <c r="P91" s="700"/>
      <c r="Q91" s="700"/>
      <c r="R91" s="700"/>
      <c r="S91" s="700"/>
      <c r="T91" s="700"/>
      <c r="U91" s="700"/>
      <c r="X91" s="638"/>
    </row>
    <row r="92" spans="1:24" s="642" customFormat="1">
      <c r="A92" s="698"/>
      <c r="B92" s="699"/>
      <c r="C92" s="700"/>
      <c r="D92" s="700"/>
      <c r="E92" s="700"/>
      <c r="F92" s="700"/>
      <c r="G92" s="700"/>
      <c r="H92" s="700"/>
      <c r="I92" s="700"/>
      <c r="J92" s="700"/>
      <c r="K92" s="700"/>
      <c r="L92" s="700"/>
      <c r="M92" s="700"/>
      <c r="N92" s="700"/>
      <c r="O92" s="700"/>
      <c r="P92" s="700"/>
      <c r="Q92" s="700"/>
      <c r="R92" s="700"/>
      <c r="S92" s="700"/>
      <c r="T92" s="700"/>
      <c r="U92" s="700"/>
      <c r="X92" s="638"/>
    </row>
    <row r="93" spans="1:24" s="642" customFormat="1">
      <c r="A93" s="698"/>
      <c r="B93" s="699"/>
      <c r="C93" s="700"/>
      <c r="D93" s="700"/>
      <c r="E93" s="700"/>
      <c r="F93" s="700"/>
      <c r="G93" s="700"/>
      <c r="H93" s="700"/>
      <c r="I93" s="700"/>
      <c r="J93" s="700"/>
      <c r="K93" s="700"/>
      <c r="L93" s="700"/>
      <c r="M93" s="700"/>
      <c r="N93" s="700"/>
      <c r="O93" s="700"/>
      <c r="P93" s="700"/>
      <c r="Q93" s="700"/>
      <c r="R93" s="700"/>
      <c r="S93" s="700"/>
      <c r="T93" s="700"/>
      <c r="U93" s="700"/>
      <c r="X93" s="638"/>
    </row>
    <row r="94" spans="1:24" s="642" customFormat="1">
      <c r="A94" s="698"/>
      <c r="B94" s="699"/>
      <c r="C94" s="700"/>
      <c r="D94" s="700"/>
      <c r="E94" s="700"/>
      <c r="F94" s="700"/>
      <c r="G94" s="700"/>
      <c r="H94" s="700"/>
      <c r="I94" s="700"/>
      <c r="J94" s="700"/>
      <c r="K94" s="700"/>
      <c r="L94" s="700"/>
      <c r="M94" s="700"/>
      <c r="N94" s="700"/>
      <c r="O94" s="700"/>
      <c r="P94" s="700"/>
      <c r="Q94" s="700"/>
      <c r="R94" s="700"/>
      <c r="S94" s="700"/>
      <c r="T94" s="700"/>
      <c r="U94" s="700"/>
      <c r="X94" s="638"/>
    </row>
    <row r="95" spans="1:24" s="642" customFormat="1">
      <c r="A95" s="698"/>
      <c r="B95" s="699"/>
      <c r="C95" s="700"/>
      <c r="D95" s="700"/>
      <c r="E95" s="700"/>
      <c r="F95" s="700"/>
      <c r="G95" s="700"/>
      <c r="H95" s="700"/>
      <c r="I95" s="700"/>
      <c r="J95" s="700"/>
      <c r="K95" s="700"/>
      <c r="L95" s="700"/>
      <c r="M95" s="700"/>
      <c r="N95" s="700"/>
      <c r="O95" s="700"/>
      <c r="P95" s="700"/>
      <c r="Q95" s="700"/>
      <c r="R95" s="700"/>
      <c r="S95" s="700"/>
      <c r="T95" s="700"/>
      <c r="U95" s="700"/>
      <c r="X95" s="638"/>
    </row>
    <row r="96" spans="1:24" s="642" customFormat="1">
      <c r="A96" s="698"/>
      <c r="B96" s="699"/>
      <c r="C96" s="700"/>
      <c r="D96" s="700"/>
      <c r="E96" s="700"/>
      <c r="F96" s="700"/>
      <c r="G96" s="700"/>
      <c r="H96" s="700"/>
      <c r="I96" s="700"/>
      <c r="J96" s="700"/>
      <c r="K96" s="700"/>
      <c r="L96" s="700"/>
      <c r="M96" s="700"/>
      <c r="N96" s="700"/>
      <c r="O96" s="700"/>
      <c r="P96" s="700"/>
      <c r="Q96" s="700"/>
      <c r="R96" s="700"/>
      <c r="S96" s="700"/>
      <c r="T96" s="700"/>
      <c r="U96" s="700"/>
      <c r="X96" s="638"/>
    </row>
    <row r="97" spans="1:24" s="642" customFormat="1">
      <c r="A97" s="698"/>
      <c r="B97" s="699"/>
      <c r="C97" s="700"/>
      <c r="D97" s="700"/>
      <c r="E97" s="700"/>
      <c r="F97" s="700"/>
      <c r="G97" s="700"/>
      <c r="H97" s="700"/>
      <c r="I97" s="700"/>
      <c r="J97" s="700"/>
      <c r="K97" s="700"/>
      <c r="L97" s="700"/>
      <c r="M97" s="700"/>
      <c r="N97" s="700"/>
      <c r="O97" s="700"/>
      <c r="P97" s="700"/>
      <c r="Q97" s="700"/>
      <c r="R97" s="700"/>
      <c r="S97" s="700"/>
      <c r="T97" s="700"/>
      <c r="U97" s="700"/>
      <c r="X97" s="638"/>
    </row>
    <row r="98" spans="1:24" s="642" customFormat="1">
      <c r="A98" s="698"/>
      <c r="B98" s="699"/>
      <c r="C98" s="700"/>
      <c r="D98" s="700"/>
      <c r="E98" s="700"/>
      <c r="F98" s="700"/>
      <c r="G98" s="700"/>
      <c r="H98" s="700"/>
      <c r="I98" s="700"/>
      <c r="J98" s="700"/>
      <c r="K98" s="700"/>
      <c r="L98" s="700"/>
      <c r="M98" s="700"/>
      <c r="N98" s="700"/>
      <c r="O98" s="700"/>
      <c r="P98" s="700"/>
      <c r="Q98" s="700"/>
      <c r="R98" s="700"/>
      <c r="S98" s="700"/>
      <c r="T98" s="700"/>
      <c r="U98" s="700"/>
      <c r="X98" s="638"/>
    </row>
    <row r="99" spans="1:24" s="642" customFormat="1">
      <c r="A99" s="698"/>
      <c r="B99" s="699"/>
      <c r="C99" s="700"/>
      <c r="D99" s="700"/>
      <c r="E99" s="700"/>
      <c r="F99" s="700"/>
      <c r="G99" s="700"/>
      <c r="H99" s="700"/>
      <c r="I99" s="700"/>
      <c r="J99" s="700"/>
      <c r="K99" s="700"/>
      <c r="L99" s="700"/>
      <c r="M99" s="700"/>
      <c r="N99" s="700"/>
      <c r="O99" s="700"/>
      <c r="P99" s="700"/>
      <c r="Q99" s="700"/>
      <c r="R99" s="700"/>
      <c r="S99" s="700"/>
      <c r="T99" s="700"/>
      <c r="U99" s="700"/>
      <c r="X99" s="638"/>
    </row>
    <row r="100" spans="1:24" s="642" customFormat="1">
      <c r="A100" s="698"/>
      <c r="B100" s="699"/>
      <c r="C100" s="700"/>
      <c r="D100" s="700"/>
      <c r="E100" s="700"/>
      <c r="F100" s="700"/>
      <c r="G100" s="700"/>
      <c r="H100" s="700"/>
      <c r="I100" s="700"/>
      <c r="J100" s="700"/>
      <c r="K100" s="700"/>
      <c r="L100" s="700"/>
      <c r="M100" s="700"/>
      <c r="N100" s="700"/>
      <c r="O100" s="700"/>
      <c r="P100" s="700"/>
      <c r="Q100" s="700"/>
      <c r="R100" s="700"/>
      <c r="S100" s="700"/>
      <c r="T100" s="700"/>
      <c r="U100" s="700"/>
      <c r="X100" s="638"/>
    </row>
    <row r="101" spans="1:24" s="642" customFormat="1">
      <c r="A101" s="698"/>
      <c r="B101" s="699"/>
      <c r="C101" s="700"/>
      <c r="D101" s="700"/>
      <c r="E101" s="700"/>
      <c r="F101" s="700"/>
      <c r="G101" s="700"/>
      <c r="H101" s="700"/>
      <c r="I101" s="700"/>
      <c r="J101" s="700"/>
      <c r="K101" s="700"/>
      <c r="L101" s="700"/>
      <c r="M101" s="700"/>
      <c r="N101" s="700"/>
      <c r="O101" s="700"/>
      <c r="P101" s="700"/>
      <c r="Q101" s="700"/>
      <c r="R101" s="700"/>
      <c r="S101" s="700"/>
      <c r="T101" s="700"/>
      <c r="U101" s="700"/>
      <c r="X101" s="638"/>
    </row>
    <row r="102" spans="1:24" s="642" customFormat="1">
      <c r="A102" s="698"/>
      <c r="B102" s="699"/>
      <c r="C102" s="700"/>
      <c r="D102" s="700"/>
      <c r="E102" s="700"/>
      <c r="F102" s="700"/>
      <c r="G102" s="700"/>
      <c r="H102" s="700"/>
      <c r="I102" s="700"/>
      <c r="J102" s="700"/>
      <c r="K102" s="700"/>
      <c r="L102" s="700"/>
      <c r="M102" s="700"/>
      <c r="N102" s="700"/>
      <c r="O102" s="700"/>
      <c r="P102" s="700"/>
      <c r="Q102" s="700"/>
      <c r="R102" s="700"/>
      <c r="S102" s="700"/>
      <c r="T102" s="700"/>
      <c r="U102" s="700"/>
      <c r="X102" s="638"/>
    </row>
    <row r="103" spans="1:24" s="642" customFormat="1">
      <c r="A103" s="698"/>
      <c r="B103" s="699"/>
      <c r="C103" s="700"/>
      <c r="D103" s="700"/>
      <c r="E103" s="700"/>
      <c r="F103" s="700"/>
      <c r="G103" s="700"/>
      <c r="H103" s="700"/>
      <c r="I103" s="700"/>
      <c r="J103" s="700"/>
      <c r="K103" s="700"/>
      <c r="L103" s="700"/>
      <c r="M103" s="700"/>
      <c r="N103" s="700"/>
      <c r="O103" s="700"/>
      <c r="P103" s="700"/>
      <c r="Q103" s="700"/>
      <c r="R103" s="700"/>
      <c r="S103" s="700"/>
      <c r="T103" s="700"/>
      <c r="U103" s="700"/>
      <c r="X103" s="638"/>
    </row>
    <row r="104" spans="1:24" s="642" customFormat="1">
      <c r="A104" s="698"/>
      <c r="B104" s="699"/>
      <c r="C104" s="700"/>
      <c r="D104" s="700"/>
      <c r="E104" s="700"/>
      <c r="F104" s="700"/>
      <c r="G104" s="700"/>
      <c r="H104" s="700"/>
      <c r="I104" s="700"/>
      <c r="J104" s="700"/>
      <c r="K104" s="700"/>
      <c r="L104" s="700"/>
      <c r="M104" s="700"/>
      <c r="N104" s="700"/>
      <c r="O104" s="700"/>
      <c r="P104" s="700"/>
      <c r="Q104" s="700"/>
      <c r="R104" s="700"/>
      <c r="S104" s="700"/>
      <c r="T104" s="700"/>
      <c r="U104" s="700"/>
      <c r="X104" s="638"/>
    </row>
    <row r="105" spans="1:24" s="642" customFormat="1">
      <c r="A105" s="698"/>
      <c r="B105" s="699"/>
      <c r="C105" s="700"/>
      <c r="D105" s="700"/>
      <c r="E105" s="700"/>
      <c r="F105" s="700"/>
      <c r="G105" s="700"/>
      <c r="H105" s="700"/>
      <c r="I105" s="700"/>
      <c r="J105" s="700"/>
      <c r="K105" s="700"/>
      <c r="L105" s="700"/>
      <c r="M105" s="700"/>
      <c r="N105" s="700"/>
      <c r="O105" s="700"/>
      <c r="P105" s="700"/>
      <c r="Q105" s="700"/>
      <c r="R105" s="700"/>
      <c r="S105" s="700"/>
      <c r="T105" s="700"/>
      <c r="U105" s="700"/>
      <c r="X105" s="638"/>
    </row>
    <row r="106" spans="1:24" s="642" customFormat="1">
      <c r="A106" s="698"/>
      <c r="B106" s="699"/>
      <c r="C106" s="700"/>
      <c r="D106" s="700"/>
      <c r="E106" s="700"/>
      <c r="F106" s="700"/>
      <c r="G106" s="700"/>
      <c r="H106" s="700"/>
      <c r="I106" s="700"/>
      <c r="J106" s="700"/>
      <c r="K106" s="700"/>
      <c r="L106" s="700"/>
      <c r="M106" s="700"/>
      <c r="N106" s="700"/>
      <c r="O106" s="700"/>
      <c r="P106" s="700"/>
      <c r="Q106" s="700"/>
      <c r="R106" s="700"/>
      <c r="S106" s="700"/>
      <c r="T106" s="700"/>
      <c r="U106" s="700"/>
      <c r="X106" s="638"/>
    </row>
    <row r="107" spans="1:24" s="642" customFormat="1">
      <c r="A107" s="698"/>
      <c r="B107" s="699"/>
      <c r="C107" s="700"/>
      <c r="D107" s="700"/>
      <c r="E107" s="700"/>
      <c r="F107" s="700"/>
      <c r="G107" s="700"/>
      <c r="H107" s="700"/>
      <c r="I107" s="700"/>
      <c r="J107" s="700"/>
      <c r="K107" s="700"/>
      <c r="L107" s="700"/>
      <c r="M107" s="700"/>
      <c r="N107" s="700"/>
      <c r="O107" s="700"/>
      <c r="P107" s="700"/>
      <c r="Q107" s="700"/>
      <c r="R107" s="700"/>
      <c r="S107" s="700"/>
      <c r="T107" s="700"/>
      <c r="U107" s="700"/>
      <c r="X107" s="638"/>
    </row>
    <row r="108" spans="1:24" s="642" customFormat="1">
      <c r="A108" s="698"/>
      <c r="B108" s="699"/>
      <c r="C108" s="700"/>
      <c r="D108" s="700"/>
      <c r="E108" s="700"/>
      <c r="F108" s="700"/>
      <c r="G108" s="700"/>
      <c r="H108" s="700"/>
      <c r="I108" s="700"/>
      <c r="J108" s="700"/>
      <c r="K108" s="700"/>
      <c r="L108" s="700"/>
      <c r="M108" s="700"/>
      <c r="N108" s="700"/>
      <c r="O108" s="700"/>
      <c r="P108" s="700"/>
      <c r="Q108" s="700"/>
      <c r="R108" s="700"/>
      <c r="S108" s="700"/>
      <c r="T108" s="700"/>
      <c r="U108" s="700"/>
      <c r="X108" s="638"/>
    </row>
    <row r="109" spans="1:24" s="642" customFormat="1">
      <c r="A109" s="698"/>
      <c r="B109" s="699"/>
      <c r="C109" s="700"/>
      <c r="D109" s="700"/>
      <c r="E109" s="700"/>
      <c r="F109" s="700"/>
      <c r="G109" s="700"/>
      <c r="H109" s="700"/>
      <c r="I109" s="700"/>
      <c r="J109" s="700"/>
      <c r="K109" s="700"/>
      <c r="L109" s="700"/>
      <c r="M109" s="700"/>
      <c r="N109" s="700"/>
      <c r="O109" s="700"/>
      <c r="P109" s="700"/>
      <c r="Q109" s="700"/>
      <c r="R109" s="700"/>
      <c r="S109" s="700"/>
      <c r="T109" s="700"/>
      <c r="U109" s="700"/>
      <c r="X109" s="638"/>
    </row>
    <row r="110" spans="1:24" s="642" customFormat="1">
      <c r="A110" s="698"/>
      <c r="B110" s="699"/>
      <c r="C110" s="700"/>
      <c r="D110" s="700"/>
      <c r="E110" s="700"/>
      <c r="F110" s="700"/>
      <c r="G110" s="700"/>
      <c r="H110" s="700"/>
      <c r="I110" s="700"/>
      <c r="J110" s="700"/>
      <c r="K110" s="700"/>
      <c r="L110" s="700"/>
      <c r="M110" s="700"/>
      <c r="N110" s="700"/>
      <c r="O110" s="700"/>
      <c r="P110" s="700"/>
      <c r="Q110" s="700"/>
      <c r="R110" s="700"/>
      <c r="S110" s="700"/>
      <c r="T110" s="700"/>
      <c r="U110" s="700"/>
      <c r="X110" s="638"/>
    </row>
    <row r="111" spans="1:24" s="642" customFormat="1">
      <c r="A111" s="698"/>
      <c r="B111" s="699"/>
      <c r="C111" s="700"/>
      <c r="D111" s="700"/>
      <c r="E111" s="700"/>
      <c r="F111" s="700"/>
      <c r="G111" s="700"/>
      <c r="H111" s="700"/>
      <c r="I111" s="700"/>
      <c r="J111" s="700"/>
      <c r="K111" s="700"/>
      <c r="L111" s="700"/>
      <c r="M111" s="700"/>
      <c r="N111" s="700"/>
      <c r="O111" s="700"/>
      <c r="P111" s="700"/>
      <c r="Q111" s="700"/>
      <c r="R111" s="700"/>
      <c r="S111" s="700"/>
      <c r="T111" s="700"/>
      <c r="U111" s="700"/>
      <c r="X111" s="638"/>
    </row>
    <row r="112" spans="1:24" s="642" customFormat="1">
      <c r="A112" s="698"/>
      <c r="B112" s="699"/>
      <c r="C112" s="700"/>
      <c r="D112" s="700"/>
      <c r="E112" s="700"/>
      <c r="F112" s="700"/>
      <c r="G112" s="700"/>
      <c r="H112" s="700"/>
      <c r="I112" s="700"/>
      <c r="J112" s="700"/>
      <c r="K112" s="700"/>
      <c r="L112" s="700"/>
      <c r="M112" s="700"/>
      <c r="N112" s="700"/>
      <c r="O112" s="700"/>
      <c r="P112" s="700"/>
      <c r="Q112" s="700"/>
      <c r="R112" s="700"/>
      <c r="S112" s="700"/>
      <c r="T112" s="700"/>
      <c r="U112" s="700"/>
      <c r="X112" s="638"/>
    </row>
    <row r="113" spans="1:24" s="642" customFormat="1">
      <c r="A113" s="698"/>
      <c r="B113" s="699"/>
      <c r="C113" s="700"/>
      <c r="D113" s="700"/>
      <c r="E113" s="700"/>
      <c r="F113" s="700"/>
      <c r="G113" s="700"/>
      <c r="H113" s="700"/>
      <c r="I113" s="700"/>
      <c r="J113" s="700"/>
      <c r="K113" s="700"/>
      <c r="L113" s="700"/>
      <c r="M113" s="700"/>
      <c r="N113" s="700"/>
      <c r="O113" s="700"/>
      <c r="P113" s="700"/>
      <c r="Q113" s="700"/>
      <c r="R113" s="700"/>
      <c r="S113" s="700"/>
      <c r="T113" s="700"/>
      <c r="U113" s="700"/>
      <c r="X113" s="638"/>
    </row>
    <row r="114" spans="1:24" s="642" customFormat="1">
      <c r="A114" s="698"/>
      <c r="B114" s="699"/>
      <c r="C114" s="700"/>
      <c r="D114" s="700"/>
      <c r="E114" s="700"/>
      <c r="F114" s="700"/>
      <c r="G114" s="700"/>
      <c r="H114" s="700"/>
      <c r="I114" s="700"/>
      <c r="J114" s="700"/>
      <c r="K114" s="700"/>
      <c r="L114" s="700"/>
      <c r="M114" s="700"/>
      <c r="N114" s="700"/>
      <c r="O114" s="700"/>
      <c r="P114" s="700"/>
      <c r="Q114" s="700"/>
      <c r="R114" s="700"/>
      <c r="S114" s="700"/>
      <c r="T114" s="700"/>
      <c r="U114" s="700"/>
      <c r="X114" s="638"/>
    </row>
    <row r="115" spans="1:24" s="642" customFormat="1">
      <c r="A115" s="698"/>
      <c r="B115" s="699"/>
      <c r="C115" s="700"/>
      <c r="D115" s="700"/>
      <c r="E115" s="700"/>
      <c r="F115" s="700"/>
      <c r="G115" s="700"/>
      <c r="H115" s="700"/>
      <c r="I115" s="700"/>
      <c r="J115" s="700"/>
      <c r="K115" s="700"/>
      <c r="L115" s="700"/>
      <c r="M115" s="700"/>
      <c r="N115" s="700"/>
      <c r="O115" s="700"/>
      <c r="P115" s="700"/>
      <c r="Q115" s="700"/>
      <c r="R115" s="700"/>
      <c r="S115" s="700"/>
      <c r="T115" s="700"/>
      <c r="U115" s="700"/>
      <c r="X115" s="638"/>
    </row>
    <row r="116" spans="1:24" s="642" customFormat="1">
      <c r="A116" s="698"/>
      <c r="B116" s="699"/>
      <c r="C116" s="700"/>
      <c r="D116" s="700"/>
      <c r="E116" s="700"/>
      <c r="F116" s="700"/>
      <c r="G116" s="700"/>
      <c r="H116" s="700"/>
      <c r="I116" s="700"/>
      <c r="J116" s="700"/>
      <c r="K116" s="700"/>
      <c r="L116" s="700"/>
      <c r="M116" s="700"/>
      <c r="N116" s="700"/>
      <c r="O116" s="700"/>
      <c r="P116" s="700"/>
      <c r="Q116" s="700"/>
      <c r="R116" s="700"/>
      <c r="S116" s="700"/>
      <c r="T116" s="700"/>
      <c r="U116" s="700"/>
      <c r="X116" s="638"/>
    </row>
    <row r="117" spans="1:24" s="642" customFormat="1">
      <c r="A117" s="698"/>
      <c r="B117" s="699"/>
      <c r="C117" s="700"/>
      <c r="D117" s="700"/>
      <c r="E117" s="700"/>
      <c r="F117" s="700"/>
      <c r="G117" s="700"/>
      <c r="H117" s="700"/>
      <c r="I117" s="700"/>
      <c r="J117" s="700"/>
      <c r="K117" s="700"/>
      <c r="L117" s="700"/>
      <c r="M117" s="700"/>
      <c r="N117" s="700"/>
      <c r="O117" s="700"/>
      <c r="P117" s="700"/>
      <c r="Q117" s="700"/>
      <c r="R117" s="700"/>
      <c r="S117" s="700"/>
      <c r="T117" s="700"/>
      <c r="U117" s="700"/>
      <c r="X117" s="638"/>
    </row>
    <row r="118" spans="1:24" s="642" customFormat="1">
      <c r="A118" s="698"/>
      <c r="B118" s="699"/>
      <c r="C118" s="700"/>
      <c r="D118" s="700"/>
      <c r="E118" s="700"/>
      <c r="F118" s="700"/>
      <c r="G118" s="700"/>
      <c r="H118" s="700"/>
      <c r="I118" s="700"/>
      <c r="J118" s="700"/>
      <c r="K118" s="700"/>
      <c r="L118" s="700"/>
      <c r="M118" s="700"/>
      <c r="N118" s="700"/>
      <c r="O118" s="700"/>
      <c r="P118" s="700"/>
      <c r="Q118" s="700"/>
      <c r="R118" s="700"/>
      <c r="S118" s="700"/>
      <c r="T118" s="700"/>
      <c r="U118" s="700"/>
      <c r="X118" s="638"/>
    </row>
    <row r="119" spans="1:24" s="642" customFormat="1">
      <c r="A119" s="698"/>
      <c r="B119" s="699"/>
      <c r="C119" s="700"/>
      <c r="D119" s="700"/>
      <c r="E119" s="700"/>
      <c r="F119" s="700"/>
      <c r="G119" s="700"/>
      <c r="H119" s="700"/>
      <c r="I119" s="700"/>
      <c r="J119" s="700"/>
      <c r="K119" s="700"/>
      <c r="L119" s="700"/>
      <c r="M119" s="700"/>
      <c r="N119" s="700"/>
      <c r="O119" s="700"/>
      <c r="P119" s="700"/>
      <c r="Q119" s="700"/>
      <c r="R119" s="700"/>
      <c r="S119" s="700"/>
      <c r="T119" s="700"/>
      <c r="U119" s="700"/>
      <c r="X119" s="638"/>
    </row>
    <row r="120" spans="1:24" s="642" customFormat="1">
      <c r="A120" s="698"/>
      <c r="B120" s="699"/>
      <c r="C120" s="700"/>
      <c r="D120" s="700"/>
      <c r="E120" s="700"/>
      <c r="F120" s="700"/>
      <c r="G120" s="700"/>
      <c r="H120" s="700"/>
      <c r="I120" s="700"/>
      <c r="J120" s="700"/>
      <c r="K120" s="700"/>
      <c r="L120" s="700"/>
      <c r="M120" s="700"/>
      <c r="N120" s="700"/>
      <c r="O120" s="700"/>
      <c r="P120" s="700"/>
      <c r="Q120" s="700"/>
      <c r="R120" s="700"/>
      <c r="S120" s="700"/>
      <c r="T120" s="700"/>
      <c r="U120" s="700"/>
      <c r="X120" s="638"/>
    </row>
    <row r="121" spans="1:24" s="642" customFormat="1">
      <c r="A121" s="698"/>
      <c r="B121" s="699"/>
      <c r="C121" s="700"/>
      <c r="D121" s="700"/>
      <c r="E121" s="700"/>
      <c r="F121" s="700"/>
      <c r="G121" s="700"/>
      <c r="H121" s="700"/>
      <c r="I121" s="700"/>
      <c r="J121" s="700"/>
      <c r="K121" s="700"/>
      <c r="L121" s="700"/>
      <c r="M121" s="700"/>
      <c r="N121" s="700"/>
      <c r="O121" s="700"/>
      <c r="P121" s="700"/>
      <c r="Q121" s="700"/>
      <c r="R121" s="700"/>
      <c r="S121" s="700"/>
      <c r="T121" s="700"/>
      <c r="U121" s="700"/>
      <c r="X121" s="638"/>
    </row>
    <row r="122" spans="1:24" s="642" customFormat="1">
      <c r="A122" s="698"/>
      <c r="B122" s="699"/>
      <c r="C122" s="700"/>
      <c r="D122" s="700"/>
      <c r="E122" s="700"/>
      <c r="F122" s="700"/>
      <c r="G122" s="700"/>
      <c r="H122" s="700"/>
      <c r="I122" s="700"/>
      <c r="J122" s="700"/>
      <c r="K122" s="700"/>
      <c r="L122" s="700"/>
      <c r="M122" s="700"/>
      <c r="N122" s="700"/>
      <c r="O122" s="700"/>
      <c r="P122" s="700"/>
      <c r="Q122" s="700"/>
      <c r="R122" s="700"/>
      <c r="S122" s="700"/>
      <c r="T122" s="700"/>
      <c r="U122" s="700"/>
      <c r="X122" s="638"/>
    </row>
    <row r="123" spans="1:24" s="642" customFormat="1">
      <c r="A123" s="698"/>
      <c r="B123" s="699"/>
      <c r="C123" s="700"/>
      <c r="D123" s="700"/>
      <c r="E123" s="700"/>
      <c r="F123" s="700"/>
      <c r="G123" s="700"/>
      <c r="H123" s="700"/>
      <c r="I123" s="700"/>
      <c r="J123" s="700"/>
      <c r="K123" s="700"/>
      <c r="L123" s="700"/>
      <c r="M123" s="700"/>
      <c r="N123" s="700"/>
      <c r="O123" s="700"/>
      <c r="P123" s="700"/>
      <c r="Q123" s="700"/>
      <c r="R123" s="700"/>
      <c r="S123" s="700"/>
      <c r="T123" s="700"/>
      <c r="U123" s="700"/>
      <c r="X123" s="638"/>
    </row>
    <row r="124" spans="1:24" s="642" customFormat="1">
      <c r="A124" s="698"/>
      <c r="B124" s="699"/>
      <c r="C124" s="700"/>
      <c r="D124" s="700"/>
      <c r="E124" s="700"/>
      <c r="F124" s="700"/>
      <c r="G124" s="700"/>
      <c r="H124" s="700"/>
      <c r="I124" s="700"/>
      <c r="J124" s="700"/>
      <c r="K124" s="700"/>
      <c r="L124" s="700"/>
      <c r="M124" s="700"/>
      <c r="N124" s="700"/>
      <c r="O124" s="700"/>
      <c r="P124" s="700"/>
      <c r="Q124" s="700"/>
      <c r="R124" s="700"/>
      <c r="S124" s="700"/>
      <c r="T124" s="700"/>
      <c r="U124" s="700"/>
      <c r="X124" s="638"/>
    </row>
    <row r="125" spans="1:24" s="642" customFormat="1">
      <c r="A125" s="698"/>
      <c r="B125" s="699"/>
      <c r="C125" s="700"/>
      <c r="D125" s="700"/>
      <c r="E125" s="700"/>
      <c r="F125" s="700"/>
      <c r="G125" s="700"/>
      <c r="H125" s="700"/>
      <c r="I125" s="700"/>
      <c r="J125" s="700"/>
      <c r="K125" s="700"/>
      <c r="L125" s="700"/>
      <c r="M125" s="700"/>
      <c r="N125" s="700"/>
      <c r="O125" s="700"/>
      <c r="P125" s="700"/>
      <c r="Q125" s="700"/>
      <c r="R125" s="700"/>
      <c r="S125" s="700"/>
      <c r="T125" s="700"/>
      <c r="U125" s="700"/>
      <c r="X125" s="638"/>
    </row>
    <row r="126" spans="1:24" s="642" customFormat="1">
      <c r="A126" s="698"/>
      <c r="B126" s="699"/>
      <c r="C126" s="700"/>
      <c r="D126" s="700"/>
      <c r="E126" s="700"/>
      <c r="F126" s="700"/>
      <c r="G126" s="700"/>
      <c r="H126" s="700"/>
      <c r="I126" s="700"/>
      <c r="J126" s="700"/>
      <c r="K126" s="700"/>
      <c r="L126" s="700"/>
      <c r="M126" s="700"/>
      <c r="N126" s="700"/>
      <c r="O126" s="700"/>
      <c r="P126" s="700"/>
      <c r="Q126" s="700"/>
      <c r="R126" s="700"/>
      <c r="S126" s="700"/>
      <c r="T126" s="700"/>
      <c r="U126" s="700"/>
      <c r="X126" s="638"/>
    </row>
    <row r="127" spans="1:24" s="642" customFormat="1">
      <c r="A127" s="698"/>
      <c r="B127" s="699"/>
      <c r="C127" s="700"/>
      <c r="D127" s="700"/>
      <c r="E127" s="700"/>
      <c r="F127" s="700"/>
      <c r="G127" s="700"/>
      <c r="H127" s="700"/>
      <c r="I127" s="700"/>
      <c r="J127" s="700"/>
      <c r="K127" s="700"/>
      <c r="L127" s="700"/>
      <c r="M127" s="700"/>
      <c r="N127" s="700"/>
      <c r="O127" s="700"/>
      <c r="P127" s="700"/>
      <c r="Q127" s="700"/>
      <c r="R127" s="700"/>
      <c r="S127" s="700"/>
      <c r="T127" s="700"/>
      <c r="U127" s="700"/>
      <c r="X127" s="638"/>
    </row>
    <row r="128" spans="1:24" s="642" customFormat="1">
      <c r="A128" s="698"/>
      <c r="B128" s="699"/>
      <c r="C128" s="700"/>
      <c r="D128" s="700"/>
      <c r="E128" s="700"/>
      <c r="F128" s="700"/>
      <c r="G128" s="700"/>
      <c r="H128" s="700"/>
      <c r="I128" s="700"/>
      <c r="J128" s="700"/>
      <c r="K128" s="700"/>
      <c r="L128" s="700"/>
      <c r="M128" s="700"/>
      <c r="N128" s="700"/>
      <c r="O128" s="700"/>
      <c r="P128" s="700"/>
      <c r="Q128" s="700"/>
      <c r="R128" s="700"/>
      <c r="S128" s="700"/>
      <c r="T128" s="700"/>
      <c r="U128" s="700"/>
      <c r="X128" s="638"/>
    </row>
    <row r="129" spans="1:24" s="642" customFormat="1">
      <c r="A129" s="698"/>
      <c r="B129" s="699"/>
      <c r="C129" s="700"/>
      <c r="D129" s="700"/>
      <c r="E129" s="700"/>
      <c r="F129" s="700"/>
      <c r="G129" s="700"/>
      <c r="H129" s="700"/>
      <c r="I129" s="700"/>
      <c r="J129" s="700"/>
      <c r="K129" s="700"/>
      <c r="L129" s="700"/>
      <c r="M129" s="700"/>
      <c r="N129" s="700"/>
      <c r="O129" s="700"/>
      <c r="P129" s="700"/>
      <c r="Q129" s="700"/>
      <c r="R129" s="700"/>
      <c r="S129" s="700"/>
      <c r="T129" s="700"/>
      <c r="U129" s="700"/>
      <c r="X129" s="638"/>
    </row>
    <row r="130" spans="1:24" s="642" customFormat="1">
      <c r="A130" s="698"/>
      <c r="B130" s="699"/>
      <c r="C130" s="700"/>
      <c r="D130" s="700"/>
      <c r="E130" s="700"/>
      <c r="F130" s="700"/>
      <c r="G130" s="700"/>
      <c r="H130" s="700"/>
      <c r="I130" s="700"/>
      <c r="J130" s="700"/>
      <c r="K130" s="700"/>
      <c r="L130" s="700"/>
      <c r="M130" s="700"/>
      <c r="N130" s="700"/>
      <c r="O130" s="700"/>
      <c r="P130" s="700"/>
      <c r="Q130" s="700"/>
      <c r="R130" s="700"/>
      <c r="S130" s="700"/>
      <c r="T130" s="700"/>
      <c r="U130" s="700"/>
      <c r="X130" s="638"/>
    </row>
    <row r="131" spans="1:24" s="642" customFormat="1">
      <c r="A131" s="698"/>
      <c r="B131" s="699"/>
      <c r="C131" s="700"/>
      <c r="D131" s="700"/>
      <c r="E131" s="700"/>
      <c r="F131" s="700"/>
      <c r="G131" s="700"/>
      <c r="H131" s="700"/>
      <c r="I131" s="700"/>
      <c r="J131" s="700"/>
      <c r="K131" s="700"/>
      <c r="L131" s="700"/>
      <c r="M131" s="700"/>
      <c r="N131" s="700"/>
      <c r="O131" s="700"/>
      <c r="P131" s="700"/>
      <c r="Q131" s="700"/>
      <c r="R131" s="700"/>
      <c r="S131" s="700"/>
      <c r="T131" s="700"/>
      <c r="U131" s="700"/>
      <c r="X131" s="638"/>
    </row>
    <row r="132" spans="1:24" s="642" customFormat="1">
      <c r="A132" s="698"/>
      <c r="B132" s="699"/>
      <c r="C132" s="700"/>
      <c r="D132" s="700"/>
      <c r="E132" s="700"/>
      <c r="F132" s="700"/>
      <c r="G132" s="700"/>
      <c r="H132" s="700"/>
      <c r="I132" s="700"/>
      <c r="J132" s="700"/>
      <c r="K132" s="700"/>
      <c r="L132" s="700"/>
      <c r="M132" s="700"/>
      <c r="N132" s="700"/>
      <c r="O132" s="700"/>
      <c r="P132" s="700"/>
      <c r="Q132" s="700"/>
      <c r="R132" s="700"/>
      <c r="S132" s="700"/>
      <c r="T132" s="700"/>
      <c r="U132" s="700"/>
      <c r="X132" s="638"/>
    </row>
    <row r="133" spans="1:24" s="642" customFormat="1">
      <c r="A133" s="698"/>
      <c r="B133" s="699"/>
      <c r="C133" s="700"/>
      <c r="D133" s="700"/>
      <c r="E133" s="700"/>
      <c r="F133" s="700"/>
      <c r="G133" s="700"/>
      <c r="H133" s="700"/>
      <c r="I133" s="700"/>
      <c r="J133" s="700"/>
      <c r="K133" s="700"/>
      <c r="L133" s="700"/>
      <c r="M133" s="700"/>
      <c r="N133" s="700"/>
      <c r="O133" s="700"/>
      <c r="P133" s="700"/>
      <c r="Q133" s="700"/>
      <c r="R133" s="700"/>
      <c r="S133" s="700"/>
      <c r="T133" s="700"/>
      <c r="U133" s="700"/>
      <c r="X133" s="638"/>
    </row>
    <row r="134" spans="1:24" s="642" customFormat="1">
      <c r="A134" s="698"/>
      <c r="B134" s="699"/>
      <c r="C134" s="700"/>
      <c r="D134" s="700"/>
      <c r="E134" s="700"/>
      <c r="F134" s="700"/>
      <c r="G134" s="700"/>
      <c r="H134" s="700"/>
      <c r="I134" s="700"/>
      <c r="J134" s="700"/>
      <c r="K134" s="700"/>
      <c r="L134" s="700"/>
      <c r="M134" s="700"/>
      <c r="N134" s="700"/>
      <c r="O134" s="700"/>
      <c r="P134" s="700"/>
      <c r="Q134" s="700"/>
      <c r="R134" s="700"/>
      <c r="S134" s="700"/>
      <c r="T134" s="700"/>
      <c r="U134" s="700"/>
      <c r="X134" s="638"/>
    </row>
    <row r="135" spans="1:24" s="642" customFormat="1">
      <c r="A135" s="698"/>
      <c r="B135" s="699"/>
      <c r="C135" s="700"/>
      <c r="D135" s="700"/>
      <c r="E135" s="700"/>
      <c r="F135" s="700"/>
      <c r="G135" s="700"/>
      <c r="H135" s="700"/>
      <c r="I135" s="700"/>
      <c r="J135" s="700"/>
      <c r="K135" s="700"/>
      <c r="L135" s="700"/>
      <c r="M135" s="700"/>
      <c r="N135" s="700"/>
      <c r="O135" s="700"/>
      <c r="P135" s="700"/>
      <c r="Q135" s="700"/>
      <c r="R135" s="700"/>
      <c r="S135" s="700"/>
      <c r="T135" s="700"/>
      <c r="U135" s="700"/>
      <c r="X135" s="638"/>
    </row>
    <row r="136" spans="1:24" s="642" customFormat="1">
      <c r="A136" s="698"/>
      <c r="B136" s="699"/>
      <c r="C136" s="700"/>
      <c r="D136" s="700"/>
      <c r="E136" s="700"/>
      <c r="F136" s="700"/>
      <c r="G136" s="700"/>
      <c r="H136" s="700"/>
      <c r="I136" s="700"/>
      <c r="J136" s="700"/>
      <c r="K136" s="700"/>
      <c r="L136" s="700"/>
      <c r="M136" s="700"/>
      <c r="N136" s="700"/>
      <c r="O136" s="700"/>
      <c r="P136" s="700"/>
      <c r="Q136" s="700"/>
      <c r="R136" s="700"/>
      <c r="S136" s="700"/>
      <c r="T136" s="700"/>
      <c r="U136" s="700"/>
      <c r="X136" s="638"/>
    </row>
    <row r="137" spans="1:24" s="642" customFormat="1">
      <c r="A137" s="698"/>
      <c r="B137" s="699"/>
      <c r="C137" s="700"/>
      <c r="D137" s="700"/>
      <c r="E137" s="700"/>
      <c r="F137" s="700"/>
      <c r="G137" s="700"/>
      <c r="H137" s="700"/>
      <c r="I137" s="700"/>
      <c r="J137" s="700"/>
      <c r="K137" s="700"/>
      <c r="L137" s="700"/>
      <c r="M137" s="700"/>
      <c r="N137" s="700"/>
      <c r="O137" s="700"/>
      <c r="P137" s="700"/>
      <c r="Q137" s="700"/>
      <c r="R137" s="700"/>
      <c r="S137" s="700"/>
      <c r="T137" s="700"/>
      <c r="U137" s="700"/>
      <c r="X137" s="638"/>
    </row>
    <row r="138" spans="1:24" s="642" customFormat="1">
      <c r="A138" s="698"/>
      <c r="B138" s="699"/>
      <c r="C138" s="700"/>
      <c r="D138" s="700"/>
      <c r="E138" s="700"/>
      <c r="F138" s="700"/>
      <c r="G138" s="700"/>
      <c r="H138" s="700"/>
      <c r="I138" s="700"/>
      <c r="J138" s="700"/>
      <c r="K138" s="700"/>
      <c r="L138" s="700"/>
      <c r="M138" s="700"/>
      <c r="N138" s="700"/>
      <c r="O138" s="700"/>
      <c r="P138" s="700"/>
      <c r="Q138" s="700"/>
      <c r="R138" s="700"/>
      <c r="S138" s="700"/>
      <c r="T138" s="700"/>
      <c r="U138" s="700"/>
      <c r="X138" s="638"/>
    </row>
    <row r="139" spans="1:24" s="642" customFormat="1">
      <c r="A139" s="698"/>
      <c r="B139" s="699"/>
      <c r="C139" s="700"/>
      <c r="D139" s="700"/>
      <c r="E139" s="700"/>
      <c r="F139" s="700"/>
      <c r="G139" s="700"/>
      <c r="H139" s="700"/>
      <c r="I139" s="700"/>
      <c r="J139" s="700"/>
      <c r="K139" s="700"/>
      <c r="L139" s="700"/>
      <c r="M139" s="700"/>
      <c r="N139" s="700"/>
      <c r="O139" s="700"/>
      <c r="P139" s="700"/>
      <c r="Q139" s="700"/>
      <c r="R139" s="700"/>
      <c r="S139" s="700"/>
      <c r="T139" s="700"/>
      <c r="U139" s="700"/>
      <c r="X139" s="638"/>
    </row>
    <row r="140" spans="1:24" s="642" customFormat="1">
      <c r="A140" s="698"/>
      <c r="B140" s="699"/>
      <c r="C140" s="700"/>
      <c r="D140" s="700"/>
      <c r="E140" s="700"/>
      <c r="F140" s="700"/>
      <c r="G140" s="700"/>
      <c r="H140" s="700"/>
      <c r="I140" s="700"/>
      <c r="J140" s="700"/>
      <c r="K140" s="700"/>
      <c r="L140" s="700"/>
      <c r="M140" s="700"/>
      <c r="N140" s="700"/>
      <c r="O140" s="700"/>
      <c r="P140" s="700"/>
      <c r="Q140" s="700"/>
      <c r="R140" s="700"/>
      <c r="S140" s="700"/>
      <c r="T140" s="700"/>
      <c r="U140" s="700"/>
      <c r="X140" s="638"/>
    </row>
    <row r="141" spans="1:24" s="642" customFormat="1">
      <c r="A141" s="698"/>
      <c r="B141" s="699"/>
      <c r="C141" s="700"/>
      <c r="D141" s="700"/>
      <c r="E141" s="700"/>
      <c r="F141" s="700"/>
      <c r="G141" s="700"/>
      <c r="H141" s="700"/>
      <c r="I141" s="700"/>
      <c r="J141" s="700"/>
      <c r="K141" s="700"/>
      <c r="L141" s="700"/>
      <c r="M141" s="700"/>
      <c r="N141" s="700"/>
      <c r="O141" s="700"/>
      <c r="P141" s="700"/>
      <c r="Q141" s="700"/>
      <c r="R141" s="700"/>
      <c r="S141" s="700"/>
      <c r="T141" s="700"/>
      <c r="U141" s="700"/>
      <c r="X141" s="638"/>
    </row>
    <row r="142" spans="1:24" s="642" customFormat="1">
      <c r="A142" s="698"/>
      <c r="B142" s="699"/>
      <c r="C142" s="700"/>
      <c r="D142" s="700"/>
      <c r="E142" s="700"/>
      <c r="F142" s="700"/>
      <c r="G142" s="700"/>
      <c r="H142" s="700"/>
      <c r="I142" s="700"/>
      <c r="J142" s="700"/>
      <c r="K142" s="700"/>
      <c r="L142" s="700"/>
      <c r="M142" s="700"/>
      <c r="N142" s="700"/>
      <c r="O142" s="700"/>
      <c r="P142" s="700"/>
      <c r="Q142" s="700"/>
      <c r="R142" s="700"/>
      <c r="S142" s="700"/>
      <c r="T142" s="700"/>
      <c r="U142" s="700"/>
      <c r="X142" s="638"/>
    </row>
    <row r="143" spans="1:24" s="642" customFormat="1">
      <c r="A143" s="698"/>
      <c r="B143" s="699"/>
      <c r="C143" s="700"/>
      <c r="D143" s="700"/>
      <c r="E143" s="700"/>
      <c r="F143" s="700"/>
      <c r="G143" s="700"/>
      <c r="H143" s="700"/>
      <c r="I143" s="700"/>
      <c r="J143" s="700"/>
      <c r="K143" s="700"/>
      <c r="L143" s="700"/>
      <c r="M143" s="700"/>
      <c r="N143" s="700"/>
      <c r="O143" s="700"/>
      <c r="P143" s="700"/>
      <c r="Q143" s="700"/>
      <c r="R143" s="700"/>
      <c r="S143" s="700"/>
      <c r="T143" s="700"/>
      <c r="U143" s="700"/>
      <c r="X143" s="638"/>
    </row>
    <row r="144" spans="1:24" s="642" customFormat="1">
      <c r="A144" s="698"/>
      <c r="B144" s="699"/>
      <c r="C144" s="700"/>
      <c r="D144" s="700"/>
      <c r="E144" s="700"/>
      <c r="F144" s="700"/>
      <c r="G144" s="700"/>
      <c r="H144" s="700"/>
      <c r="I144" s="700"/>
      <c r="J144" s="700"/>
      <c r="K144" s="700"/>
      <c r="L144" s="700"/>
      <c r="M144" s="700"/>
      <c r="N144" s="700"/>
      <c r="O144" s="700"/>
      <c r="P144" s="700"/>
      <c r="Q144" s="700"/>
      <c r="R144" s="700"/>
      <c r="S144" s="700"/>
      <c r="T144" s="700"/>
      <c r="U144" s="700"/>
      <c r="X144" s="638"/>
    </row>
    <row r="145" spans="1:24" s="642" customFormat="1">
      <c r="A145" s="698"/>
      <c r="B145" s="699"/>
      <c r="C145" s="700"/>
      <c r="D145" s="700"/>
      <c r="E145" s="700"/>
      <c r="F145" s="700"/>
      <c r="G145" s="700"/>
      <c r="H145" s="700"/>
      <c r="I145" s="700"/>
      <c r="J145" s="700"/>
      <c r="K145" s="700"/>
      <c r="L145" s="700"/>
      <c r="M145" s="700"/>
      <c r="N145" s="700"/>
      <c r="O145" s="700"/>
      <c r="P145" s="700"/>
      <c r="Q145" s="700"/>
      <c r="R145" s="700"/>
      <c r="S145" s="700"/>
      <c r="T145" s="700"/>
      <c r="U145" s="700"/>
      <c r="X145" s="638"/>
    </row>
    <row r="146" spans="1:24" s="642" customFormat="1">
      <c r="A146" s="698"/>
      <c r="B146" s="699"/>
      <c r="C146" s="700"/>
      <c r="D146" s="700"/>
      <c r="E146" s="700"/>
      <c r="F146" s="700"/>
      <c r="G146" s="700"/>
      <c r="H146" s="700"/>
      <c r="I146" s="700"/>
      <c r="J146" s="700"/>
      <c r="K146" s="700"/>
      <c r="L146" s="700"/>
      <c r="M146" s="700"/>
      <c r="N146" s="700"/>
      <c r="O146" s="700"/>
      <c r="P146" s="700"/>
      <c r="Q146" s="700"/>
      <c r="R146" s="700"/>
      <c r="S146" s="700"/>
      <c r="T146" s="700"/>
      <c r="U146" s="700"/>
      <c r="X146" s="638"/>
    </row>
    <row r="147" spans="1:24" s="642" customFormat="1">
      <c r="A147" s="698"/>
      <c r="B147" s="699"/>
      <c r="C147" s="700"/>
      <c r="D147" s="700"/>
      <c r="E147" s="700"/>
      <c r="F147" s="700"/>
      <c r="G147" s="700"/>
      <c r="H147" s="700"/>
      <c r="I147" s="700"/>
      <c r="J147" s="700"/>
      <c r="K147" s="700"/>
      <c r="L147" s="700"/>
      <c r="M147" s="700"/>
      <c r="N147" s="700"/>
      <c r="O147" s="700"/>
      <c r="P147" s="700"/>
      <c r="Q147" s="700"/>
      <c r="R147" s="700"/>
      <c r="S147" s="700"/>
      <c r="T147" s="700"/>
      <c r="U147" s="700"/>
      <c r="X147" s="638"/>
    </row>
    <row r="148" spans="1:24" s="642" customFormat="1">
      <c r="A148" s="698"/>
      <c r="B148" s="699"/>
      <c r="C148" s="700"/>
      <c r="D148" s="700"/>
      <c r="E148" s="700"/>
      <c r="F148" s="700"/>
      <c r="G148" s="700"/>
      <c r="H148" s="700"/>
      <c r="I148" s="700"/>
      <c r="J148" s="700"/>
      <c r="K148" s="700"/>
      <c r="L148" s="700"/>
      <c r="M148" s="700"/>
      <c r="N148" s="700"/>
      <c r="O148" s="700"/>
      <c r="P148" s="700"/>
      <c r="Q148" s="700"/>
      <c r="R148" s="700"/>
      <c r="S148" s="700"/>
      <c r="T148" s="700"/>
      <c r="U148" s="700"/>
      <c r="X148" s="638"/>
    </row>
    <row r="149" spans="1:24" s="642" customFormat="1">
      <c r="A149" s="698"/>
      <c r="B149" s="699"/>
      <c r="C149" s="700"/>
      <c r="D149" s="700"/>
      <c r="E149" s="700"/>
      <c r="F149" s="700"/>
      <c r="G149" s="700"/>
      <c r="H149" s="700"/>
      <c r="I149" s="700"/>
      <c r="J149" s="700"/>
      <c r="K149" s="700"/>
      <c r="L149" s="700"/>
      <c r="M149" s="700"/>
      <c r="N149" s="700"/>
      <c r="O149" s="700"/>
      <c r="P149" s="700"/>
      <c r="Q149" s="700"/>
      <c r="R149" s="700"/>
      <c r="S149" s="700"/>
      <c r="T149" s="700"/>
      <c r="U149" s="700"/>
      <c r="X149" s="638"/>
    </row>
    <row r="150" spans="1:24" s="642" customFormat="1">
      <c r="A150" s="698"/>
      <c r="B150" s="699"/>
      <c r="C150" s="700"/>
      <c r="D150" s="700"/>
      <c r="E150" s="700"/>
      <c r="F150" s="700"/>
      <c r="G150" s="700"/>
      <c r="H150" s="700"/>
      <c r="I150" s="700"/>
      <c r="J150" s="700"/>
      <c r="K150" s="700"/>
      <c r="L150" s="700"/>
      <c r="M150" s="700"/>
      <c r="N150" s="700"/>
      <c r="O150" s="700"/>
      <c r="P150" s="700"/>
      <c r="Q150" s="700"/>
      <c r="R150" s="700"/>
      <c r="S150" s="700"/>
      <c r="T150" s="700"/>
      <c r="U150" s="700"/>
      <c r="X150" s="638"/>
    </row>
    <row r="151" spans="1:24" s="642" customFormat="1">
      <c r="A151" s="698"/>
      <c r="B151" s="699"/>
      <c r="C151" s="700"/>
      <c r="D151" s="700"/>
      <c r="E151" s="700"/>
      <c r="F151" s="700"/>
      <c r="G151" s="700"/>
      <c r="H151" s="700"/>
      <c r="I151" s="700"/>
      <c r="J151" s="700"/>
      <c r="K151" s="700"/>
      <c r="L151" s="700"/>
      <c r="M151" s="700"/>
      <c r="N151" s="700"/>
      <c r="O151" s="700"/>
      <c r="P151" s="700"/>
      <c r="Q151" s="700"/>
      <c r="R151" s="700"/>
      <c r="S151" s="700"/>
      <c r="T151" s="700"/>
      <c r="U151" s="700"/>
      <c r="X151" s="638"/>
    </row>
    <row r="152" spans="1:24" s="642" customFormat="1">
      <c r="A152" s="698"/>
      <c r="B152" s="699"/>
      <c r="C152" s="700"/>
      <c r="D152" s="700"/>
      <c r="E152" s="700"/>
      <c r="F152" s="700"/>
      <c r="G152" s="700"/>
      <c r="H152" s="700"/>
      <c r="I152" s="700"/>
      <c r="J152" s="700"/>
      <c r="K152" s="700"/>
      <c r="L152" s="700"/>
      <c r="M152" s="700"/>
      <c r="N152" s="700"/>
      <c r="O152" s="700"/>
      <c r="P152" s="700"/>
      <c r="Q152" s="700"/>
      <c r="R152" s="700"/>
      <c r="S152" s="700"/>
      <c r="T152" s="700"/>
      <c r="U152" s="700"/>
      <c r="X152" s="638"/>
    </row>
    <row r="153" spans="1:24" s="642" customFormat="1">
      <c r="A153" s="698"/>
      <c r="B153" s="699"/>
      <c r="C153" s="700"/>
      <c r="D153" s="700"/>
      <c r="E153" s="700"/>
      <c r="F153" s="700"/>
      <c r="G153" s="700"/>
      <c r="H153" s="700"/>
      <c r="I153" s="700"/>
      <c r="J153" s="700"/>
      <c r="K153" s="700"/>
      <c r="L153" s="700"/>
      <c r="M153" s="700"/>
      <c r="N153" s="700"/>
      <c r="O153" s="700"/>
      <c r="P153" s="700"/>
      <c r="Q153" s="700"/>
      <c r="R153" s="700"/>
      <c r="S153" s="700"/>
      <c r="T153" s="700"/>
      <c r="U153" s="700"/>
      <c r="X153" s="638"/>
    </row>
    <row r="154" spans="1:24" s="642" customFormat="1">
      <c r="A154" s="698"/>
      <c r="B154" s="699"/>
      <c r="C154" s="700"/>
      <c r="D154" s="700"/>
      <c r="E154" s="700"/>
      <c r="F154" s="700"/>
      <c r="G154" s="700"/>
      <c r="H154" s="700"/>
      <c r="I154" s="700"/>
      <c r="J154" s="700"/>
      <c r="K154" s="700"/>
      <c r="L154" s="700"/>
      <c r="M154" s="700"/>
      <c r="N154" s="700"/>
      <c r="O154" s="700"/>
      <c r="P154" s="700"/>
      <c r="Q154" s="700"/>
      <c r="R154" s="700"/>
      <c r="S154" s="700"/>
      <c r="T154" s="700"/>
      <c r="U154" s="700"/>
      <c r="X154" s="638"/>
    </row>
    <row r="155" spans="1:24" s="642" customFormat="1">
      <c r="A155" s="698"/>
      <c r="B155" s="699"/>
      <c r="C155" s="700"/>
      <c r="D155" s="700"/>
      <c r="E155" s="700"/>
      <c r="F155" s="700"/>
      <c r="G155" s="700"/>
      <c r="H155" s="700"/>
      <c r="I155" s="700"/>
      <c r="J155" s="700"/>
      <c r="K155" s="700"/>
      <c r="L155" s="700"/>
      <c r="M155" s="700"/>
      <c r="N155" s="700"/>
      <c r="O155" s="700"/>
      <c r="P155" s="700"/>
      <c r="Q155" s="700"/>
      <c r="R155" s="700"/>
      <c r="S155" s="700"/>
      <c r="T155" s="700"/>
      <c r="U155" s="700"/>
      <c r="X155" s="638"/>
    </row>
    <row r="156" spans="1:24" s="642" customFormat="1">
      <c r="A156" s="698"/>
      <c r="B156" s="699"/>
      <c r="C156" s="700"/>
      <c r="D156" s="700"/>
      <c r="E156" s="700"/>
      <c r="F156" s="700"/>
      <c r="G156" s="700"/>
      <c r="H156" s="700"/>
      <c r="I156" s="700"/>
      <c r="J156" s="700"/>
      <c r="K156" s="700"/>
      <c r="L156" s="700"/>
      <c r="M156" s="700"/>
      <c r="N156" s="700"/>
      <c r="O156" s="700"/>
      <c r="P156" s="700"/>
      <c r="Q156" s="700"/>
      <c r="R156" s="700"/>
      <c r="S156" s="700"/>
      <c r="T156" s="700"/>
      <c r="U156" s="700"/>
      <c r="X156" s="638"/>
    </row>
    <row r="157" spans="1:24" s="642" customFormat="1">
      <c r="A157" s="698"/>
      <c r="B157" s="699"/>
      <c r="C157" s="700"/>
      <c r="D157" s="700"/>
      <c r="E157" s="700"/>
      <c r="F157" s="700"/>
      <c r="G157" s="700"/>
      <c r="H157" s="700"/>
      <c r="I157" s="700"/>
      <c r="J157" s="700"/>
      <c r="K157" s="700"/>
      <c r="L157" s="700"/>
      <c r="M157" s="700"/>
      <c r="N157" s="700"/>
      <c r="O157" s="700"/>
      <c r="P157" s="700"/>
      <c r="Q157" s="700"/>
      <c r="R157" s="700"/>
      <c r="S157" s="700"/>
      <c r="T157" s="700"/>
      <c r="U157" s="700"/>
      <c r="X157" s="638"/>
    </row>
    <row r="158" spans="1:24" s="642" customFormat="1">
      <c r="A158" s="698"/>
      <c r="B158" s="699"/>
      <c r="C158" s="700"/>
      <c r="D158" s="700"/>
      <c r="E158" s="700"/>
      <c r="F158" s="700"/>
      <c r="G158" s="700"/>
      <c r="H158" s="700"/>
      <c r="I158" s="700"/>
      <c r="J158" s="700"/>
      <c r="K158" s="700"/>
      <c r="L158" s="700"/>
      <c r="M158" s="700"/>
      <c r="N158" s="700"/>
      <c r="O158" s="700"/>
      <c r="P158" s="700"/>
      <c r="Q158" s="700"/>
      <c r="R158" s="700"/>
      <c r="S158" s="700"/>
      <c r="T158" s="700"/>
      <c r="U158" s="700"/>
      <c r="X158" s="638"/>
    </row>
    <row r="159" spans="1:24" s="642" customFormat="1">
      <c r="A159" s="698"/>
      <c r="B159" s="699"/>
      <c r="C159" s="700"/>
      <c r="D159" s="700"/>
      <c r="E159" s="700"/>
      <c r="F159" s="700"/>
      <c r="G159" s="700"/>
      <c r="H159" s="700"/>
      <c r="I159" s="700"/>
      <c r="J159" s="700"/>
      <c r="K159" s="700"/>
      <c r="L159" s="700"/>
      <c r="M159" s="700"/>
      <c r="N159" s="700"/>
      <c r="O159" s="700"/>
      <c r="P159" s="700"/>
      <c r="Q159" s="700"/>
      <c r="R159" s="700"/>
      <c r="S159" s="700"/>
      <c r="T159" s="700"/>
      <c r="U159" s="700"/>
      <c r="X159" s="638"/>
    </row>
    <row r="160" spans="1:24" s="642" customFormat="1">
      <c r="A160" s="698"/>
      <c r="B160" s="699"/>
      <c r="C160" s="700"/>
      <c r="D160" s="700"/>
      <c r="E160" s="700"/>
      <c r="F160" s="700"/>
      <c r="G160" s="700"/>
      <c r="H160" s="700"/>
      <c r="I160" s="700"/>
      <c r="J160" s="700"/>
      <c r="K160" s="700"/>
      <c r="L160" s="700"/>
      <c r="M160" s="700"/>
      <c r="N160" s="700"/>
      <c r="O160" s="700"/>
      <c r="P160" s="700"/>
      <c r="Q160" s="700"/>
      <c r="R160" s="700"/>
      <c r="S160" s="700"/>
      <c r="T160" s="700"/>
      <c r="U160" s="700"/>
      <c r="X160" s="638"/>
    </row>
    <row r="161" spans="1:24" s="642" customFormat="1">
      <c r="A161" s="698"/>
      <c r="B161" s="699"/>
      <c r="C161" s="700"/>
      <c r="D161" s="700"/>
      <c r="E161" s="700"/>
      <c r="F161" s="700"/>
      <c r="G161" s="700"/>
      <c r="H161" s="700"/>
      <c r="I161" s="700"/>
      <c r="J161" s="700"/>
      <c r="K161" s="700"/>
      <c r="L161" s="700"/>
      <c r="M161" s="700"/>
      <c r="N161" s="700"/>
      <c r="O161" s="700"/>
      <c r="P161" s="700"/>
      <c r="Q161" s="700"/>
      <c r="R161" s="700"/>
      <c r="S161" s="700"/>
      <c r="T161" s="700"/>
      <c r="U161" s="700"/>
      <c r="X161" s="638"/>
    </row>
    <row r="162" spans="1:24" s="642" customFormat="1">
      <c r="A162" s="698"/>
      <c r="B162" s="699"/>
      <c r="C162" s="700"/>
      <c r="D162" s="700"/>
      <c r="E162" s="700"/>
      <c r="F162" s="700"/>
      <c r="G162" s="700"/>
      <c r="H162" s="700"/>
      <c r="I162" s="700"/>
      <c r="J162" s="700"/>
      <c r="K162" s="700"/>
      <c r="L162" s="700"/>
      <c r="M162" s="700"/>
      <c r="N162" s="700"/>
      <c r="O162" s="700"/>
      <c r="P162" s="700"/>
      <c r="Q162" s="700"/>
      <c r="R162" s="700"/>
      <c r="S162" s="700"/>
      <c r="T162" s="700"/>
      <c r="U162" s="700"/>
      <c r="X162" s="638"/>
    </row>
    <row r="163" spans="1:24" s="642" customFormat="1">
      <c r="A163" s="698"/>
      <c r="B163" s="699"/>
      <c r="C163" s="700"/>
      <c r="D163" s="700"/>
      <c r="E163" s="700"/>
      <c r="F163" s="700"/>
      <c r="G163" s="700"/>
      <c r="H163" s="700"/>
      <c r="I163" s="700"/>
      <c r="J163" s="700"/>
      <c r="K163" s="700"/>
      <c r="L163" s="700"/>
      <c r="M163" s="700"/>
      <c r="N163" s="700"/>
      <c r="O163" s="700"/>
      <c r="P163" s="700"/>
      <c r="Q163" s="700"/>
      <c r="R163" s="700"/>
      <c r="S163" s="700"/>
      <c r="T163" s="700"/>
      <c r="U163" s="700"/>
      <c r="X163" s="638"/>
    </row>
    <row r="164" spans="1:24" s="642" customFormat="1">
      <c r="A164" s="698"/>
      <c r="B164" s="699"/>
      <c r="C164" s="700"/>
      <c r="D164" s="700"/>
      <c r="E164" s="700"/>
      <c r="F164" s="700"/>
      <c r="G164" s="700"/>
      <c r="H164" s="700"/>
      <c r="I164" s="700"/>
      <c r="J164" s="700"/>
      <c r="K164" s="700"/>
      <c r="L164" s="700"/>
      <c r="M164" s="700"/>
      <c r="N164" s="700"/>
      <c r="O164" s="700"/>
      <c r="P164" s="700"/>
      <c r="Q164" s="700"/>
      <c r="R164" s="700"/>
      <c r="S164" s="700"/>
      <c r="T164" s="700"/>
      <c r="U164" s="700"/>
      <c r="X164" s="638"/>
    </row>
    <row r="165" spans="1:24" s="642" customFormat="1">
      <c r="A165" s="698"/>
      <c r="B165" s="699"/>
      <c r="C165" s="700"/>
      <c r="D165" s="700"/>
      <c r="E165" s="700"/>
      <c r="F165" s="700"/>
      <c r="G165" s="700"/>
      <c r="H165" s="700"/>
      <c r="I165" s="700"/>
      <c r="J165" s="700"/>
      <c r="K165" s="700"/>
      <c r="L165" s="700"/>
      <c r="M165" s="700"/>
      <c r="N165" s="700"/>
      <c r="O165" s="700"/>
      <c r="P165" s="700"/>
      <c r="Q165" s="700"/>
      <c r="R165" s="700"/>
      <c r="S165" s="700"/>
      <c r="T165" s="700"/>
      <c r="U165" s="700"/>
      <c r="X165" s="638"/>
    </row>
    <row r="166" spans="1:24" s="642" customFormat="1">
      <c r="A166" s="698"/>
      <c r="B166" s="699"/>
      <c r="C166" s="700"/>
      <c r="D166" s="700"/>
      <c r="E166" s="700"/>
      <c r="F166" s="700"/>
      <c r="G166" s="700"/>
      <c r="H166" s="700"/>
      <c r="I166" s="700"/>
      <c r="J166" s="700"/>
      <c r="K166" s="700"/>
      <c r="L166" s="700"/>
      <c r="M166" s="700"/>
      <c r="N166" s="700"/>
      <c r="O166" s="700"/>
      <c r="P166" s="700"/>
      <c r="Q166" s="700"/>
      <c r="R166" s="700"/>
      <c r="S166" s="700"/>
      <c r="T166" s="700"/>
      <c r="U166" s="700"/>
      <c r="X166" s="638"/>
    </row>
    <row r="167" spans="1:24" s="642" customFormat="1">
      <c r="A167" s="698"/>
      <c r="B167" s="699"/>
      <c r="C167" s="700"/>
      <c r="D167" s="700"/>
      <c r="E167" s="700"/>
      <c r="F167" s="700"/>
      <c r="G167" s="700"/>
      <c r="H167" s="700"/>
      <c r="I167" s="700"/>
      <c r="J167" s="700"/>
      <c r="K167" s="700"/>
      <c r="L167" s="700"/>
      <c r="M167" s="700"/>
      <c r="N167" s="700"/>
      <c r="O167" s="700"/>
      <c r="P167" s="700"/>
      <c r="Q167" s="700"/>
      <c r="R167" s="700"/>
      <c r="S167" s="700"/>
      <c r="T167" s="700"/>
      <c r="U167" s="700"/>
      <c r="X167" s="638"/>
    </row>
    <row r="168" spans="1:24" s="642" customFormat="1">
      <c r="A168" s="698"/>
      <c r="B168" s="699"/>
      <c r="C168" s="700"/>
      <c r="D168" s="700"/>
      <c r="E168" s="700"/>
      <c r="F168" s="700"/>
      <c r="G168" s="700"/>
      <c r="H168" s="700"/>
      <c r="I168" s="700"/>
      <c r="J168" s="700"/>
      <c r="K168" s="700"/>
      <c r="L168" s="700"/>
      <c r="M168" s="700"/>
      <c r="N168" s="700"/>
      <c r="O168" s="700"/>
      <c r="P168" s="700"/>
      <c r="Q168" s="700"/>
      <c r="R168" s="700"/>
      <c r="S168" s="700"/>
      <c r="T168" s="700"/>
      <c r="U168" s="700"/>
      <c r="X168" s="638"/>
    </row>
    <row r="169" spans="1:24" s="642" customFormat="1">
      <c r="A169" s="698"/>
      <c r="B169" s="699"/>
      <c r="C169" s="700"/>
      <c r="D169" s="700"/>
      <c r="E169" s="700"/>
      <c r="F169" s="700"/>
      <c r="G169" s="700"/>
      <c r="H169" s="700"/>
      <c r="I169" s="700"/>
      <c r="J169" s="700"/>
      <c r="K169" s="700"/>
      <c r="L169" s="700"/>
      <c r="M169" s="700"/>
      <c r="N169" s="700"/>
      <c r="O169" s="700"/>
      <c r="P169" s="700"/>
      <c r="Q169" s="700"/>
      <c r="R169" s="700"/>
      <c r="S169" s="700"/>
      <c r="T169" s="700"/>
      <c r="U169" s="700"/>
      <c r="X169" s="638"/>
    </row>
    <row r="170" spans="1:24" s="642" customFormat="1">
      <c r="A170" s="698"/>
      <c r="B170" s="699"/>
      <c r="C170" s="700"/>
      <c r="D170" s="700"/>
      <c r="E170" s="700"/>
      <c r="F170" s="700"/>
      <c r="G170" s="700"/>
      <c r="H170" s="700"/>
      <c r="I170" s="700"/>
      <c r="J170" s="700"/>
      <c r="K170" s="700"/>
      <c r="L170" s="700"/>
      <c r="M170" s="700"/>
      <c r="N170" s="700"/>
      <c r="O170" s="700"/>
      <c r="P170" s="700"/>
      <c r="Q170" s="700"/>
      <c r="R170" s="700"/>
      <c r="S170" s="700"/>
      <c r="T170" s="700"/>
      <c r="U170" s="700"/>
      <c r="X170" s="638"/>
    </row>
    <row r="171" spans="1:24" s="642" customFormat="1">
      <c r="A171" s="698"/>
      <c r="B171" s="699"/>
      <c r="C171" s="700"/>
      <c r="D171" s="700"/>
      <c r="E171" s="700"/>
      <c r="F171" s="700"/>
      <c r="G171" s="700"/>
      <c r="H171" s="700"/>
      <c r="I171" s="700"/>
      <c r="J171" s="700"/>
      <c r="K171" s="700"/>
      <c r="L171" s="700"/>
      <c r="M171" s="700"/>
      <c r="N171" s="700"/>
      <c r="O171" s="700"/>
      <c r="P171" s="700"/>
      <c r="Q171" s="700"/>
      <c r="R171" s="700"/>
      <c r="S171" s="700"/>
      <c r="T171" s="700"/>
      <c r="U171" s="700"/>
      <c r="X171" s="638"/>
    </row>
    <row r="172" spans="1:24" s="642" customFormat="1">
      <c r="A172" s="698"/>
      <c r="B172" s="699"/>
      <c r="C172" s="700"/>
      <c r="D172" s="700"/>
      <c r="E172" s="700"/>
      <c r="F172" s="700"/>
      <c r="G172" s="700"/>
      <c r="H172" s="700"/>
      <c r="I172" s="700"/>
      <c r="J172" s="700"/>
      <c r="K172" s="700"/>
      <c r="L172" s="700"/>
      <c r="M172" s="700"/>
      <c r="N172" s="700"/>
      <c r="O172" s="700"/>
      <c r="P172" s="700"/>
      <c r="Q172" s="700"/>
      <c r="R172" s="700"/>
      <c r="S172" s="700"/>
      <c r="T172" s="700"/>
      <c r="U172" s="700"/>
      <c r="X172" s="638"/>
    </row>
    <row r="173" spans="1:24" s="642" customFormat="1">
      <c r="A173" s="698"/>
      <c r="B173" s="699"/>
      <c r="C173" s="700"/>
      <c r="D173" s="700"/>
      <c r="E173" s="700"/>
      <c r="F173" s="700"/>
      <c r="G173" s="700"/>
      <c r="H173" s="700"/>
      <c r="I173" s="700"/>
      <c r="J173" s="700"/>
      <c r="K173" s="700"/>
      <c r="L173" s="700"/>
      <c r="M173" s="700"/>
      <c r="N173" s="700"/>
      <c r="O173" s="700"/>
      <c r="P173" s="700"/>
      <c r="Q173" s="700"/>
      <c r="R173" s="700"/>
      <c r="S173" s="700"/>
      <c r="T173" s="700"/>
      <c r="U173" s="700"/>
      <c r="X173" s="638"/>
    </row>
    <row r="174" spans="1:24" s="642" customFormat="1">
      <c r="A174" s="698"/>
      <c r="B174" s="699"/>
      <c r="C174" s="700"/>
      <c r="D174" s="700"/>
      <c r="E174" s="700"/>
      <c r="F174" s="700"/>
      <c r="G174" s="700"/>
      <c r="H174" s="700"/>
      <c r="I174" s="700"/>
      <c r="J174" s="700"/>
      <c r="K174" s="700"/>
      <c r="L174" s="700"/>
      <c r="M174" s="700"/>
      <c r="N174" s="700"/>
      <c r="O174" s="700"/>
      <c r="P174" s="700"/>
      <c r="Q174" s="700"/>
      <c r="R174" s="700"/>
      <c r="S174" s="700"/>
      <c r="T174" s="700"/>
      <c r="U174" s="700"/>
      <c r="X174" s="638"/>
    </row>
    <row r="175" spans="1:24" s="642" customFormat="1">
      <c r="A175" s="698"/>
      <c r="B175" s="699"/>
      <c r="C175" s="700"/>
      <c r="D175" s="700"/>
      <c r="E175" s="700"/>
      <c r="F175" s="700"/>
      <c r="G175" s="700"/>
      <c r="H175" s="700"/>
      <c r="I175" s="700"/>
      <c r="J175" s="700"/>
      <c r="K175" s="700"/>
      <c r="L175" s="700"/>
      <c r="M175" s="700"/>
      <c r="N175" s="700"/>
      <c r="O175" s="700"/>
      <c r="P175" s="700"/>
      <c r="Q175" s="700"/>
      <c r="R175" s="700"/>
      <c r="S175" s="700"/>
      <c r="T175" s="700"/>
      <c r="U175" s="700"/>
      <c r="X175" s="638"/>
    </row>
    <row r="176" spans="1:24" s="642" customFormat="1">
      <c r="A176" s="698"/>
      <c r="B176" s="699"/>
      <c r="C176" s="700"/>
      <c r="D176" s="700"/>
      <c r="E176" s="700"/>
      <c r="F176" s="700"/>
      <c r="G176" s="700"/>
      <c r="H176" s="700"/>
      <c r="I176" s="700"/>
      <c r="J176" s="700"/>
      <c r="K176" s="700"/>
      <c r="L176" s="700"/>
      <c r="M176" s="700"/>
      <c r="N176" s="700"/>
      <c r="O176" s="700"/>
      <c r="P176" s="700"/>
      <c r="Q176" s="700"/>
      <c r="R176" s="700"/>
      <c r="S176" s="700"/>
      <c r="T176" s="700"/>
      <c r="U176" s="700"/>
      <c r="X176" s="638"/>
    </row>
    <row r="177" spans="1:24" s="642" customFormat="1">
      <c r="A177" s="698"/>
      <c r="B177" s="699"/>
      <c r="C177" s="700"/>
      <c r="D177" s="700"/>
      <c r="E177" s="700"/>
      <c r="F177" s="700"/>
      <c r="G177" s="700"/>
      <c r="H177" s="700"/>
      <c r="I177" s="700"/>
      <c r="J177" s="700"/>
      <c r="K177" s="700"/>
      <c r="L177" s="700"/>
      <c r="M177" s="700"/>
      <c r="N177" s="700"/>
      <c r="O177" s="700"/>
      <c r="P177" s="700"/>
      <c r="Q177" s="700"/>
      <c r="R177" s="700"/>
      <c r="S177" s="700"/>
      <c r="T177" s="700"/>
      <c r="U177" s="700"/>
      <c r="X177" s="638"/>
    </row>
    <row r="178" spans="1:24" s="642" customFormat="1">
      <c r="A178" s="698"/>
      <c r="B178" s="699"/>
      <c r="C178" s="700"/>
      <c r="D178" s="700"/>
      <c r="E178" s="700"/>
      <c r="F178" s="700"/>
      <c r="G178" s="700"/>
      <c r="H178" s="700"/>
      <c r="I178" s="700"/>
      <c r="J178" s="700"/>
      <c r="K178" s="700"/>
      <c r="L178" s="700"/>
      <c r="M178" s="700"/>
      <c r="N178" s="700"/>
      <c r="O178" s="700"/>
      <c r="P178" s="700"/>
      <c r="Q178" s="700"/>
      <c r="R178" s="700"/>
      <c r="S178" s="700"/>
      <c r="T178" s="700"/>
      <c r="U178" s="700"/>
      <c r="X178" s="638"/>
    </row>
    <row r="179" spans="1:24" s="642" customFormat="1">
      <c r="A179" s="698"/>
      <c r="B179" s="699"/>
      <c r="C179" s="700"/>
      <c r="D179" s="700"/>
      <c r="E179" s="700"/>
      <c r="F179" s="700"/>
      <c r="G179" s="700"/>
      <c r="H179" s="700"/>
      <c r="I179" s="700"/>
      <c r="J179" s="700"/>
      <c r="K179" s="700"/>
      <c r="L179" s="700"/>
      <c r="M179" s="700"/>
      <c r="N179" s="700"/>
      <c r="O179" s="700"/>
      <c r="P179" s="700"/>
      <c r="Q179" s="700"/>
      <c r="R179" s="700"/>
      <c r="S179" s="700"/>
      <c r="T179" s="700"/>
      <c r="U179" s="700"/>
      <c r="X179" s="638"/>
    </row>
    <row r="180" spans="1:24" s="642" customFormat="1">
      <c r="A180" s="698"/>
      <c r="B180" s="699"/>
      <c r="C180" s="700"/>
      <c r="D180" s="700"/>
      <c r="E180" s="700"/>
      <c r="F180" s="700"/>
      <c r="G180" s="700"/>
      <c r="H180" s="700"/>
      <c r="I180" s="700"/>
      <c r="J180" s="700"/>
      <c r="K180" s="700"/>
      <c r="L180" s="700"/>
      <c r="M180" s="700"/>
      <c r="N180" s="700"/>
      <c r="O180" s="700"/>
      <c r="P180" s="700"/>
      <c r="Q180" s="700"/>
      <c r="R180" s="700"/>
      <c r="S180" s="700"/>
      <c r="T180" s="700"/>
      <c r="U180" s="700"/>
      <c r="X180" s="638"/>
    </row>
    <row r="181" spans="1:24" s="642" customFormat="1">
      <c r="A181" s="698"/>
      <c r="B181" s="699"/>
      <c r="C181" s="700"/>
      <c r="D181" s="700"/>
      <c r="E181" s="700"/>
      <c r="F181" s="700"/>
      <c r="G181" s="700"/>
      <c r="H181" s="700"/>
      <c r="I181" s="700"/>
      <c r="J181" s="700"/>
      <c r="K181" s="700"/>
      <c r="L181" s="700"/>
      <c r="M181" s="700"/>
      <c r="N181" s="700"/>
      <c r="O181" s="700"/>
      <c r="P181" s="700"/>
      <c r="Q181" s="700"/>
      <c r="R181" s="700"/>
      <c r="S181" s="700"/>
      <c r="T181" s="700"/>
      <c r="U181" s="700"/>
      <c r="X181" s="638"/>
    </row>
    <row r="182" spans="1:24" s="642" customFormat="1">
      <c r="A182" s="698"/>
      <c r="B182" s="699"/>
      <c r="C182" s="700"/>
      <c r="D182" s="700"/>
      <c r="E182" s="700"/>
      <c r="F182" s="700"/>
      <c r="G182" s="700"/>
      <c r="H182" s="700"/>
      <c r="I182" s="700"/>
      <c r="J182" s="700"/>
      <c r="K182" s="700"/>
      <c r="L182" s="700"/>
      <c r="M182" s="700"/>
      <c r="N182" s="700"/>
      <c r="O182" s="700"/>
      <c r="P182" s="700"/>
      <c r="Q182" s="700"/>
      <c r="R182" s="700"/>
      <c r="S182" s="700"/>
      <c r="T182" s="700"/>
      <c r="U182" s="700"/>
      <c r="X182" s="638"/>
    </row>
    <row r="183" spans="1:24" s="642" customFormat="1">
      <c r="A183" s="698"/>
      <c r="B183" s="699"/>
      <c r="C183" s="700"/>
      <c r="D183" s="700"/>
      <c r="E183" s="700"/>
      <c r="F183" s="700"/>
      <c r="G183" s="700"/>
      <c r="H183" s="700"/>
      <c r="I183" s="700"/>
      <c r="J183" s="700"/>
      <c r="K183" s="700"/>
      <c r="L183" s="700"/>
      <c r="M183" s="700"/>
      <c r="N183" s="700"/>
      <c r="O183" s="700"/>
      <c r="P183" s="700"/>
      <c r="Q183" s="700"/>
      <c r="R183" s="700"/>
      <c r="S183" s="700"/>
      <c r="T183" s="700"/>
      <c r="U183" s="700"/>
      <c r="X183" s="638"/>
    </row>
    <row r="184" spans="1:24" s="642" customFormat="1">
      <c r="A184" s="698"/>
      <c r="B184" s="699"/>
      <c r="C184" s="700"/>
      <c r="D184" s="700"/>
      <c r="E184" s="700"/>
      <c r="F184" s="700"/>
      <c r="G184" s="700"/>
      <c r="H184" s="700"/>
      <c r="I184" s="700"/>
      <c r="J184" s="700"/>
      <c r="K184" s="700"/>
      <c r="L184" s="700"/>
      <c r="M184" s="700"/>
      <c r="N184" s="700"/>
      <c r="O184" s="700"/>
      <c r="P184" s="700"/>
      <c r="Q184" s="700"/>
      <c r="R184" s="700"/>
      <c r="S184" s="700"/>
      <c r="T184" s="700"/>
      <c r="U184" s="700"/>
      <c r="X184" s="638"/>
    </row>
    <row r="185" spans="1:24" s="642" customFormat="1">
      <c r="A185" s="698"/>
      <c r="B185" s="699"/>
      <c r="C185" s="700"/>
      <c r="D185" s="700"/>
      <c r="E185" s="700"/>
      <c r="F185" s="700"/>
      <c r="G185" s="700"/>
      <c r="H185" s="700"/>
      <c r="I185" s="700"/>
      <c r="J185" s="700"/>
      <c r="K185" s="700"/>
      <c r="L185" s="700"/>
      <c r="M185" s="700"/>
      <c r="N185" s="700"/>
      <c r="O185" s="700"/>
      <c r="P185" s="700"/>
      <c r="Q185" s="700"/>
      <c r="R185" s="700"/>
      <c r="S185" s="700"/>
      <c r="T185" s="700"/>
      <c r="U185" s="700"/>
      <c r="X185" s="638"/>
    </row>
    <row r="186" spans="1:24" s="642" customFormat="1">
      <c r="A186" s="698"/>
      <c r="B186" s="699"/>
      <c r="C186" s="700"/>
      <c r="D186" s="700"/>
      <c r="E186" s="700"/>
      <c r="F186" s="700"/>
      <c r="G186" s="700"/>
      <c r="H186" s="700"/>
      <c r="I186" s="700"/>
      <c r="J186" s="700"/>
      <c r="K186" s="700"/>
      <c r="L186" s="700"/>
      <c r="M186" s="700"/>
      <c r="N186" s="700"/>
      <c r="O186" s="700"/>
      <c r="P186" s="700"/>
      <c r="Q186" s="700"/>
      <c r="R186" s="700"/>
      <c r="S186" s="700"/>
      <c r="T186" s="700"/>
      <c r="U186" s="700"/>
      <c r="X186" s="638"/>
    </row>
    <row r="187" spans="1:24" s="642" customFormat="1">
      <c r="A187" s="698"/>
      <c r="B187" s="699"/>
      <c r="C187" s="700"/>
      <c r="D187" s="700"/>
      <c r="E187" s="700"/>
      <c r="F187" s="700"/>
      <c r="G187" s="700"/>
      <c r="H187" s="700"/>
      <c r="I187" s="700"/>
      <c r="J187" s="700"/>
      <c r="K187" s="700"/>
      <c r="L187" s="700"/>
      <c r="M187" s="700"/>
      <c r="N187" s="700"/>
      <c r="O187" s="700"/>
      <c r="P187" s="700"/>
      <c r="Q187" s="700"/>
      <c r="R187" s="700"/>
      <c r="S187" s="700"/>
      <c r="T187" s="700"/>
      <c r="U187" s="700"/>
      <c r="X187" s="638"/>
    </row>
    <row r="188" spans="1:24" s="642" customFormat="1">
      <c r="A188" s="698"/>
      <c r="B188" s="699"/>
      <c r="C188" s="700"/>
      <c r="D188" s="700"/>
      <c r="E188" s="700"/>
      <c r="F188" s="700"/>
      <c r="G188" s="700"/>
      <c r="H188" s="700"/>
      <c r="I188" s="700"/>
      <c r="J188" s="700"/>
      <c r="K188" s="700"/>
      <c r="L188" s="700"/>
      <c r="M188" s="700"/>
      <c r="N188" s="700"/>
      <c r="O188" s="700"/>
      <c r="P188" s="700"/>
      <c r="Q188" s="700"/>
      <c r="R188" s="700"/>
      <c r="S188" s="700"/>
      <c r="T188" s="700"/>
      <c r="U188" s="700"/>
      <c r="X188" s="638"/>
    </row>
    <row r="189" spans="1:24" s="642" customFormat="1">
      <c r="A189" s="698"/>
      <c r="B189" s="699"/>
      <c r="C189" s="700"/>
      <c r="D189" s="700"/>
      <c r="E189" s="700"/>
      <c r="F189" s="700"/>
      <c r="G189" s="700"/>
      <c r="H189" s="700"/>
      <c r="I189" s="700"/>
      <c r="J189" s="700"/>
      <c r="K189" s="700"/>
      <c r="L189" s="700"/>
      <c r="M189" s="700"/>
      <c r="N189" s="700"/>
      <c r="O189" s="700"/>
      <c r="P189" s="700"/>
      <c r="Q189" s="700"/>
      <c r="R189" s="700"/>
      <c r="S189" s="700"/>
      <c r="T189" s="700"/>
      <c r="U189" s="700"/>
      <c r="X189" s="638"/>
    </row>
    <row r="190" spans="1:24" s="642" customFormat="1">
      <c r="A190" s="698"/>
      <c r="B190" s="699"/>
      <c r="C190" s="700"/>
      <c r="D190" s="700"/>
      <c r="E190" s="700"/>
      <c r="F190" s="700"/>
      <c r="G190" s="700"/>
      <c r="H190" s="700"/>
      <c r="I190" s="700"/>
      <c r="J190" s="700"/>
      <c r="K190" s="700"/>
      <c r="L190" s="700"/>
      <c r="M190" s="700"/>
      <c r="N190" s="700"/>
      <c r="O190" s="700"/>
      <c r="P190" s="700"/>
      <c r="Q190" s="700"/>
      <c r="R190" s="700"/>
      <c r="S190" s="700"/>
      <c r="T190" s="700"/>
      <c r="U190" s="700"/>
      <c r="X190" s="638"/>
    </row>
    <row r="191" spans="1:24" s="642" customFormat="1">
      <c r="A191" s="698"/>
      <c r="B191" s="699"/>
      <c r="C191" s="700"/>
      <c r="D191" s="700"/>
      <c r="E191" s="700"/>
      <c r="F191" s="700"/>
      <c r="G191" s="700"/>
      <c r="H191" s="700"/>
      <c r="I191" s="700"/>
      <c r="J191" s="700"/>
      <c r="K191" s="700"/>
      <c r="L191" s="700"/>
      <c r="M191" s="700"/>
      <c r="N191" s="700"/>
      <c r="O191" s="700"/>
      <c r="P191" s="700"/>
      <c r="Q191" s="700"/>
      <c r="R191" s="700"/>
      <c r="S191" s="700"/>
      <c r="T191" s="700"/>
      <c r="U191" s="700"/>
      <c r="X191" s="638"/>
    </row>
    <row r="192" spans="1:24" s="642" customFormat="1">
      <c r="A192" s="698"/>
      <c r="B192" s="699"/>
      <c r="C192" s="700"/>
      <c r="D192" s="700"/>
      <c r="E192" s="700"/>
      <c r="F192" s="700"/>
      <c r="G192" s="700"/>
      <c r="H192" s="700"/>
      <c r="I192" s="700"/>
      <c r="J192" s="700"/>
      <c r="K192" s="700"/>
      <c r="L192" s="700"/>
      <c r="M192" s="700"/>
      <c r="N192" s="700"/>
      <c r="O192" s="700"/>
      <c r="P192" s="700"/>
      <c r="Q192" s="700"/>
      <c r="R192" s="700"/>
      <c r="S192" s="700"/>
      <c r="T192" s="700"/>
      <c r="U192" s="700"/>
      <c r="X192" s="638"/>
    </row>
    <row r="193" spans="1:24" s="642" customFormat="1">
      <c r="A193" s="698"/>
      <c r="B193" s="699"/>
      <c r="C193" s="700"/>
      <c r="D193" s="700"/>
      <c r="E193" s="700"/>
      <c r="F193" s="700"/>
      <c r="G193" s="700"/>
      <c r="H193" s="700"/>
      <c r="I193" s="700"/>
      <c r="J193" s="700"/>
      <c r="K193" s="700"/>
      <c r="L193" s="700"/>
      <c r="M193" s="700"/>
      <c r="N193" s="700"/>
      <c r="O193" s="700"/>
      <c r="P193" s="700"/>
      <c r="Q193" s="700"/>
      <c r="R193" s="700"/>
      <c r="S193" s="700"/>
      <c r="T193" s="700"/>
      <c r="U193" s="700"/>
      <c r="X193" s="638"/>
    </row>
    <row r="194" spans="1:24" s="642" customFormat="1">
      <c r="A194" s="698"/>
      <c r="B194" s="699"/>
      <c r="C194" s="700"/>
      <c r="D194" s="700"/>
      <c r="E194" s="700"/>
      <c r="F194" s="700"/>
      <c r="G194" s="700"/>
      <c r="H194" s="700"/>
      <c r="I194" s="700"/>
      <c r="J194" s="700"/>
      <c r="K194" s="700"/>
      <c r="L194" s="700"/>
      <c r="M194" s="700"/>
      <c r="N194" s="700"/>
      <c r="O194" s="700"/>
      <c r="P194" s="700"/>
      <c r="Q194" s="700"/>
      <c r="R194" s="700"/>
      <c r="S194" s="700"/>
      <c r="T194" s="700"/>
      <c r="U194" s="700"/>
      <c r="X194" s="638"/>
    </row>
    <row r="195" spans="1:24" s="642" customFormat="1">
      <c r="A195" s="698"/>
      <c r="B195" s="699"/>
      <c r="C195" s="700"/>
      <c r="D195" s="700"/>
      <c r="E195" s="700"/>
      <c r="F195" s="700"/>
      <c r="G195" s="700"/>
      <c r="H195" s="700"/>
      <c r="I195" s="700"/>
      <c r="J195" s="700"/>
      <c r="K195" s="700"/>
      <c r="L195" s="700"/>
      <c r="M195" s="700"/>
      <c r="N195" s="700"/>
      <c r="O195" s="700"/>
      <c r="P195" s="700"/>
      <c r="Q195" s="700"/>
      <c r="R195" s="700"/>
      <c r="S195" s="700"/>
      <c r="T195" s="700"/>
      <c r="U195" s="700"/>
      <c r="X195" s="638"/>
    </row>
    <row r="196" spans="1:24" s="642" customFormat="1">
      <c r="A196" s="698"/>
      <c r="B196" s="699"/>
      <c r="C196" s="700"/>
      <c r="D196" s="700"/>
      <c r="E196" s="700"/>
      <c r="F196" s="700"/>
      <c r="G196" s="700"/>
      <c r="H196" s="700"/>
      <c r="I196" s="700"/>
      <c r="J196" s="700"/>
      <c r="K196" s="700"/>
      <c r="L196" s="700"/>
      <c r="M196" s="700"/>
      <c r="N196" s="700"/>
      <c r="O196" s="700"/>
      <c r="P196" s="700"/>
      <c r="Q196" s="700"/>
      <c r="R196" s="700"/>
      <c r="S196" s="700"/>
      <c r="T196" s="700"/>
      <c r="U196" s="700"/>
      <c r="X196" s="638"/>
    </row>
    <row r="197" spans="1:24" s="642" customFormat="1">
      <c r="A197" s="698"/>
      <c r="B197" s="699"/>
      <c r="C197" s="700"/>
      <c r="D197" s="700"/>
      <c r="E197" s="700"/>
      <c r="F197" s="700"/>
      <c r="G197" s="700"/>
      <c r="H197" s="700"/>
      <c r="I197" s="700"/>
      <c r="J197" s="700"/>
      <c r="K197" s="700"/>
      <c r="L197" s="700"/>
      <c r="M197" s="700"/>
      <c r="N197" s="700"/>
      <c r="O197" s="700"/>
      <c r="P197" s="700"/>
      <c r="Q197" s="700"/>
      <c r="R197" s="700"/>
      <c r="S197" s="700"/>
      <c r="T197" s="700"/>
      <c r="U197" s="700"/>
      <c r="X197" s="638"/>
    </row>
    <row r="198" spans="1:24" s="642" customFormat="1">
      <c r="A198" s="698"/>
      <c r="B198" s="699"/>
      <c r="C198" s="700"/>
      <c r="D198" s="700"/>
      <c r="E198" s="700"/>
      <c r="F198" s="700"/>
      <c r="G198" s="700"/>
      <c r="H198" s="700"/>
      <c r="I198" s="700"/>
      <c r="J198" s="700"/>
      <c r="K198" s="700"/>
      <c r="L198" s="700"/>
      <c r="M198" s="700"/>
      <c r="N198" s="700"/>
      <c r="O198" s="700"/>
      <c r="P198" s="700"/>
      <c r="Q198" s="700"/>
      <c r="R198" s="700"/>
      <c r="S198" s="700"/>
      <c r="T198" s="700"/>
      <c r="U198" s="700"/>
      <c r="X198" s="638"/>
    </row>
    <row r="199" spans="1:24" s="642" customFormat="1">
      <c r="A199" s="698"/>
      <c r="B199" s="699"/>
      <c r="C199" s="700"/>
      <c r="D199" s="700"/>
      <c r="E199" s="700"/>
      <c r="F199" s="700"/>
      <c r="G199" s="700"/>
      <c r="H199" s="700"/>
      <c r="I199" s="700"/>
      <c r="J199" s="700"/>
      <c r="K199" s="700"/>
      <c r="L199" s="700"/>
      <c r="M199" s="700"/>
      <c r="N199" s="700"/>
      <c r="O199" s="700"/>
      <c r="P199" s="700"/>
      <c r="Q199" s="700"/>
      <c r="R199" s="700"/>
      <c r="S199" s="700"/>
      <c r="T199" s="700"/>
      <c r="U199" s="700"/>
      <c r="X199" s="638"/>
    </row>
    <row r="200" spans="1:24" s="642" customFormat="1">
      <c r="A200" s="698"/>
      <c r="B200" s="699"/>
      <c r="C200" s="700"/>
      <c r="D200" s="700"/>
      <c r="E200" s="700"/>
      <c r="F200" s="700"/>
      <c r="G200" s="700"/>
      <c r="H200" s="700"/>
      <c r="I200" s="700"/>
      <c r="J200" s="700"/>
      <c r="K200" s="700"/>
      <c r="L200" s="700"/>
      <c r="M200" s="700"/>
      <c r="N200" s="700"/>
      <c r="O200" s="700"/>
      <c r="P200" s="700"/>
      <c r="Q200" s="700"/>
      <c r="R200" s="700"/>
      <c r="S200" s="700"/>
      <c r="T200" s="700"/>
      <c r="U200" s="700"/>
      <c r="X200" s="638"/>
    </row>
    <row r="201" spans="1:24" s="642" customFormat="1">
      <c r="A201" s="698"/>
      <c r="B201" s="699"/>
      <c r="C201" s="700"/>
      <c r="D201" s="700"/>
      <c r="E201" s="700"/>
      <c r="F201" s="700"/>
      <c r="G201" s="700"/>
      <c r="H201" s="700"/>
      <c r="I201" s="700"/>
      <c r="J201" s="700"/>
      <c r="K201" s="700"/>
      <c r="L201" s="700"/>
      <c r="M201" s="700"/>
      <c r="N201" s="700"/>
      <c r="O201" s="700"/>
      <c r="P201" s="700"/>
      <c r="Q201" s="700"/>
      <c r="R201" s="700"/>
      <c r="S201" s="700"/>
      <c r="T201" s="700"/>
      <c r="U201" s="700"/>
      <c r="X201" s="638"/>
    </row>
    <row r="202" spans="1:24" s="642" customFormat="1">
      <c r="A202" s="698"/>
      <c r="B202" s="699"/>
      <c r="C202" s="700"/>
      <c r="D202" s="700"/>
      <c r="E202" s="700"/>
      <c r="F202" s="700"/>
      <c r="G202" s="700"/>
      <c r="H202" s="700"/>
      <c r="I202" s="700"/>
      <c r="J202" s="700"/>
      <c r="K202" s="700"/>
      <c r="L202" s="700"/>
      <c r="M202" s="700"/>
      <c r="N202" s="700"/>
      <c r="O202" s="700"/>
      <c r="P202" s="700"/>
      <c r="Q202" s="700"/>
      <c r="R202" s="700"/>
      <c r="S202" s="700"/>
      <c r="T202" s="700"/>
      <c r="U202" s="700"/>
      <c r="X202" s="638"/>
    </row>
    <row r="203" spans="1:24" s="642" customFormat="1">
      <c r="A203" s="698"/>
      <c r="B203" s="699"/>
      <c r="C203" s="700"/>
      <c r="D203" s="700"/>
      <c r="E203" s="700"/>
      <c r="F203" s="700"/>
      <c r="G203" s="700"/>
      <c r="H203" s="700"/>
      <c r="I203" s="700"/>
      <c r="J203" s="700"/>
      <c r="K203" s="700"/>
      <c r="L203" s="700"/>
      <c r="M203" s="700"/>
      <c r="N203" s="700"/>
      <c r="O203" s="700"/>
      <c r="P203" s="700"/>
      <c r="Q203" s="700"/>
      <c r="R203" s="700"/>
      <c r="S203" s="700"/>
      <c r="T203" s="700"/>
      <c r="U203" s="700"/>
      <c r="X203" s="638"/>
    </row>
    <row r="204" spans="1:24" s="642" customFormat="1">
      <c r="A204" s="698"/>
      <c r="B204" s="699"/>
      <c r="C204" s="700"/>
      <c r="D204" s="700"/>
      <c r="E204" s="700"/>
      <c r="F204" s="700"/>
      <c r="G204" s="700"/>
      <c r="H204" s="700"/>
      <c r="I204" s="700"/>
      <c r="J204" s="700"/>
      <c r="K204" s="700"/>
      <c r="L204" s="700"/>
      <c r="M204" s="700"/>
      <c r="N204" s="700"/>
      <c r="O204" s="700"/>
      <c r="P204" s="700"/>
      <c r="Q204" s="700"/>
      <c r="R204" s="700"/>
      <c r="S204" s="700"/>
      <c r="T204" s="700"/>
      <c r="U204" s="700"/>
      <c r="X204" s="638"/>
    </row>
    <row r="205" spans="1:24" s="642" customFormat="1">
      <c r="A205" s="698"/>
      <c r="B205" s="699"/>
      <c r="C205" s="700"/>
      <c r="D205" s="700"/>
      <c r="E205" s="700"/>
      <c r="F205" s="700"/>
      <c r="G205" s="700"/>
      <c r="H205" s="700"/>
      <c r="I205" s="700"/>
      <c r="J205" s="700"/>
      <c r="K205" s="700"/>
      <c r="L205" s="700"/>
      <c r="M205" s="700"/>
      <c r="N205" s="700"/>
      <c r="O205" s="700"/>
      <c r="P205" s="700"/>
      <c r="Q205" s="700"/>
      <c r="R205" s="700"/>
      <c r="S205" s="700"/>
      <c r="T205" s="700"/>
      <c r="U205" s="700"/>
      <c r="X205" s="638"/>
    </row>
    <row r="206" spans="1:24" s="642" customFormat="1">
      <c r="A206" s="698"/>
      <c r="B206" s="699"/>
      <c r="C206" s="700"/>
      <c r="D206" s="700"/>
      <c r="E206" s="700"/>
      <c r="F206" s="700"/>
      <c r="G206" s="700"/>
      <c r="H206" s="700"/>
      <c r="I206" s="700"/>
      <c r="J206" s="700"/>
      <c r="K206" s="700"/>
      <c r="L206" s="700"/>
      <c r="M206" s="700"/>
      <c r="N206" s="700"/>
      <c r="O206" s="700"/>
      <c r="P206" s="700"/>
      <c r="Q206" s="700"/>
      <c r="R206" s="700"/>
      <c r="S206" s="700"/>
      <c r="T206" s="700"/>
      <c r="U206" s="700"/>
      <c r="X206" s="638"/>
    </row>
    <row r="207" spans="1:24" s="642" customFormat="1">
      <c r="A207" s="698"/>
      <c r="B207" s="699"/>
      <c r="C207" s="700"/>
      <c r="D207" s="700"/>
      <c r="E207" s="700"/>
      <c r="F207" s="700"/>
      <c r="G207" s="700"/>
      <c r="H207" s="700"/>
      <c r="I207" s="700"/>
      <c r="J207" s="700"/>
      <c r="K207" s="700"/>
      <c r="L207" s="700"/>
      <c r="M207" s="700"/>
      <c r="N207" s="700"/>
      <c r="O207" s="700"/>
      <c r="P207" s="700"/>
      <c r="Q207" s="700"/>
      <c r="R207" s="700"/>
      <c r="S207" s="700"/>
      <c r="T207" s="700"/>
      <c r="U207" s="700"/>
      <c r="X207" s="638"/>
    </row>
    <row r="208" spans="1:24" s="642" customFormat="1">
      <c r="A208" s="698"/>
      <c r="B208" s="699"/>
      <c r="C208" s="700"/>
      <c r="D208" s="700"/>
      <c r="E208" s="700"/>
      <c r="F208" s="700"/>
      <c r="G208" s="700"/>
      <c r="H208" s="700"/>
      <c r="I208" s="700"/>
      <c r="J208" s="700"/>
      <c r="K208" s="700"/>
      <c r="L208" s="700"/>
      <c r="M208" s="700"/>
      <c r="N208" s="700"/>
      <c r="O208" s="700"/>
      <c r="P208" s="700"/>
      <c r="Q208" s="700"/>
      <c r="R208" s="700"/>
      <c r="S208" s="700"/>
      <c r="T208" s="700"/>
      <c r="U208" s="700"/>
      <c r="X208" s="638"/>
    </row>
    <row r="209" spans="1:24" s="642" customFormat="1">
      <c r="A209" s="698"/>
      <c r="B209" s="699"/>
      <c r="C209" s="700"/>
      <c r="D209" s="700"/>
      <c r="E209" s="700"/>
      <c r="F209" s="700"/>
      <c r="G209" s="700"/>
      <c r="H209" s="700"/>
      <c r="I209" s="700"/>
      <c r="J209" s="700"/>
      <c r="K209" s="700"/>
      <c r="L209" s="700"/>
      <c r="M209" s="700"/>
      <c r="N209" s="700"/>
      <c r="O209" s="700"/>
      <c r="P209" s="700"/>
      <c r="Q209" s="700"/>
      <c r="R209" s="700"/>
      <c r="S209" s="700"/>
      <c r="T209" s="700"/>
      <c r="U209" s="700"/>
      <c r="X209" s="638"/>
    </row>
  </sheetData>
  <sheetProtection algorithmName="SHA-512" hashValue="VQTMmIqaW6wifVKQ8jQh1MLrgg+4mENipppzyFxUQM8Xv5pXxFzJMEq23lEJBwTRAWaPiAE35smbEY0XYxFGbQ==" saltValue="xr7yddNTYw8RjX+uKqLqkg==" spinCount="100000" sheet="1" objects="1" scenarios="1"/>
  <phoneticPr fontId="4" type="noConversion"/>
  <pageMargins left="0.7" right="0.7" top="0.75" bottom="0.75" header="0.3" footer="0.3"/>
  <pageSetup paperSize="9" scale="59" orientation="landscape" horizontalDpi="1200" verticalDpi="1200" r:id="rId1"/>
  <ignoredErrors>
    <ignoredError sqref="X21 X4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L938"/>
  <sheetViews>
    <sheetView view="pageBreakPreview" zoomScale="40" zoomScaleNormal="100" zoomScaleSheetLayoutView="40" workbookViewId="0">
      <pane xSplit="1" ySplit="2" topLeftCell="B3" activePane="bottomRight" state="frozen"/>
      <selection pane="topRight" activeCell="B1" sqref="B1"/>
      <selection pane="bottomLeft" activeCell="A3" sqref="A3"/>
      <selection pane="bottomRight" activeCell="C5" sqref="C5"/>
    </sheetView>
  </sheetViews>
  <sheetFormatPr defaultRowHeight="14.25"/>
  <cols>
    <col min="1" max="1" width="17.42578125" style="634" customWidth="1"/>
    <col min="2" max="2" width="49.42578125" style="635" customWidth="1"/>
    <col min="3" max="3" width="18.5703125" style="636" customWidth="1"/>
    <col min="4" max="4" width="15.42578125" style="636" customWidth="1"/>
    <col min="5" max="7" width="15.42578125" style="649" hidden="1" customWidth="1"/>
    <col min="8" max="8" width="20.7109375" style="633" hidden="1" customWidth="1"/>
    <col min="9" max="9" width="20.7109375" style="637" hidden="1" customWidth="1"/>
    <col min="10" max="10" width="20.7109375" style="633" hidden="1" customWidth="1"/>
    <col min="11" max="11" width="20.7109375" style="637" hidden="1" customWidth="1"/>
    <col min="12" max="12" width="20.7109375" style="633" hidden="1" customWidth="1"/>
    <col min="13" max="13" width="20.7109375" style="637" hidden="1" customWidth="1"/>
    <col min="14" max="20" width="20.7109375" style="633" hidden="1" customWidth="1"/>
    <col min="21" max="23" width="18.5703125" style="636" customWidth="1"/>
    <col min="24" max="103" width="9.140625" style="756"/>
    <col min="104" max="104" width="9.140625" style="756" customWidth="1"/>
    <col min="105" max="16384" width="9.140625" style="756"/>
  </cols>
  <sheetData>
    <row r="1" spans="1:90" s="639" customFormat="1" ht="28.5" customHeight="1">
      <c r="A1" s="660" t="s">
        <v>2255</v>
      </c>
      <c r="B1" s="615"/>
      <c r="C1" s="615"/>
      <c r="D1" s="615"/>
      <c r="E1" s="615"/>
      <c r="F1" s="615"/>
      <c r="G1" s="615"/>
      <c r="H1" s="615"/>
      <c r="I1" s="615"/>
      <c r="J1" s="615"/>
      <c r="K1" s="615"/>
      <c r="L1" s="615"/>
      <c r="M1" s="615"/>
      <c r="N1" s="615"/>
      <c r="O1" s="615"/>
      <c r="P1" s="615"/>
      <c r="Q1" s="615"/>
      <c r="R1" s="615"/>
      <c r="S1" s="615"/>
      <c r="T1" s="615"/>
      <c r="U1" s="615"/>
      <c r="V1" s="615"/>
      <c r="W1" s="615"/>
    </row>
    <row r="2" spans="1:90" s="640" customFormat="1" ht="83.25" customHeight="1">
      <c r="A2" s="653" t="s">
        <v>222</v>
      </c>
      <c r="B2" s="613" t="s">
        <v>223</v>
      </c>
      <c r="C2" s="613" t="s">
        <v>230</v>
      </c>
      <c r="D2" s="613" t="s">
        <v>224</v>
      </c>
      <c r="E2" s="832" t="s">
        <v>663</v>
      </c>
      <c r="F2" s="832" t="s">
        <v>664</v>
      </c>
      <c r="G2" s="832" t="s">
        <v>1118</v>
      </c>
      <c r="H2" s="619" t="s">
        <v>1119</v>
      </c>
      <c r="I2" s="619" t="s">
        <v>665</v>
      </c>
      <c r="J2" s="619" t="s">
        <v>1120</v>
      </c>
      <c r="K2" s="619" t="s">
        <v>1121</v>
      </c>
      <c r="L2" s="619" t="s">
        <v>1122</v>
      </c>
      <c r="M2" s="619" t="s">
        <v>1123</v>
      </c>
      <c r="N2" s="619" t="s">
        <v>1124</v>
      </c>
      <c r="O2" s="619" t="s">
        <v>1125</v>
      </c>
      <c r="P2" s="619" t="s">
        <v>1126</v>
      </c>
      <c r="Q2" s="619" t="s">
        <v>1127</v>
      </c>
      <c r="R2" s="619" t="s">
        <v>1128</v>
      </c>
      <c r="S2" s="619" t="s">
        <v>1129</v>
      </c>
      <c r="T2" s="619" t="s">
        <v>1130</v>
      </c>
      <c r="U2" s="613" t="s">
        <v>341</v>
      </c>
      <c r="V2" s="613" t="s">
        <v>342</v>
      </c>
      <c r="W2" s="613" t="s">
        <v>1131</v>
      </c>
    </row>
    <row r="3" spans="1:90" s="990" customFormat="1" ht="27" customHeight="1">
      <c r="A3" s="982" t="s">
        <v>25</v>
      </c>
      <c r="B3" s="983" t="s">
        <v>399</v>
      </c>
      <c r="C3" s="984" t="s">
        <v>2842</v>
      </c>
      <c r="D3" s="1146"/>
      <c r="E3" s="985"/>
      <c r="F3" s="985"/>
      <c r="G3" s="985"/>
      <c r="H3" s="985"/>
      <c r="I3" s="985"/>
      <c r="J3" s="985"/>
      <c r="K3" s="985"/>
      <c r="L3" s="985"/>
      <c r="M3" s="985"/>
      <c r="N3" s="985"/>
      <c r="O3" s="985"/>
      <c r="P3" s="985"/>
      <c r="Q3" s="985"/>
      <c r="R3" s="985"/>
      <c r="S3" s="985"/>
      <c r="T3" s="985"/>
      <c r="U3" s="985"/>
      <c r="V3" s="985"/>
      <c r="W3" s="985">
        <f>W5+W7+W9</f>
        <v>0</v>
      </c>
      <c r="X3" s="996"/>
      <c r="Y3" s="986"/>
      <c r="Z3" s="987"/>
      <c r="AA3" s="987"/>
      <c r="AB3" s="987"/>
      <c r="AC3" s="987"/>
      <c r="AD3" s="987"/>
      <c r="AE3" s="987"/>
      <c r="AF3" s="987"/>
      <c r="AG3" s="987"/>
      <c r="AH3" s="987"/>
      <c r="AI3" s="987"/>
      <c r="AJ3" s="987"/>
      <c r="AK3" s="987"/>
      <c r="AL3" s="987"/>
      <c r="AM3" s="987"/>
      <c r="AN3" s="987"/>
      <c r="AO3" s="987"/>
      <c r="AP3" s="988"/>
      <c r="AQ3" s="989"/>
      <c r="AR3" s="989"/>
      <c r="AS3" s="989"/>
      <c r="AT3" s="989"/>
      <c r="AU3" s="989"/>
      <c r="AV3" s="989"/>
      <c r="AW3" s="989"/>
      <c r="AX3" s="989"/>
      <c r="AY3" s="989"/>
      <c r="AZ3" s="989"/>
      <c r="BA3" s="989"/>
      <c r="BB3" s="989"/>
      <c r="BC3" s="989"/>
      <c r="BD3" s="989"/>
      <c r="BE3" s="989"/>
      <c r="BF3" s="989"/>
      <c r="BG3" s="989"/>
      <c r="BH3" s="989"/>
      <c r="BI3" s="989"/>
      <c r="BJ3" s="989"/>
      <c r="BK3" s="989"/>
      <c r="BL3" s="989"/>
      <c r="BM3" s="989"/>
      <c r="BN3" s="989"/>
      <c r="BO3" s="989"/>
      <c r="BP3" s="989"/>
      <c r="BQ3" s="989"/>
      <c r="BR3" s="989"/>
      <c r="BS3" s="989"/>
      <c r="BT3" s="989"/>
      <c r="BU3" s="989"/>
      <c r="BV3" s="989"/>
      <c r="BW3" s="989"/>
      <c r="BX3" s="989"/>
      <c r="BY3" s="989"/>
      <c r="BZ3" s="989"/>
      <c r="CA3" s="989"/>
      <c r="CB3" s="989"/>
      <c r="CC3" s="989"/>
      <c r="CD3" s="989"/>
      <c r="CE3" s="989"/>
      <c r="CF3" s="989"/>
      <c r="CG3" s="989"/>
      <c r="CH3" s="989"/>
      <c r="CI3" s="989"/>
      <c r="CJ3" s="989"/>
      <c r="CK3" s="989"/>
      <c r="CL3" s="989"/>
    </row>
    <row r="4" spans="1:90" s="641" customFormat="1">
      <c r="A4" s="752" t="s">
        <v>219</v>
      </c>
      <c r="B4" s="762" t="s">
        <v>1132</v>
      </c>
      <c r="C4" s="753"/>
      <c r="D4" s="754"/>
      <c r="E4" s="830"/>
      <c r="F4" s="830"/>
      <c r="G4" s="830"/>
      <c r="H4" s="755"/>
      <c r="I4" s="755"/>
      <c r="J4" s="755"/>
      <c r="K4" s="755"/>
      <c r="L4" s="755"/>
      <c r="M4" s="755"/>
      <c r="N4" s="755"/>
      <c r="O4" s="755"/>
      <c r="P4" s="755"/>
      <c r="Q4" s="755"/>
      <c r="R4" s="755"/>
      <c r="S4" s="755"/>
      <c r="T4" s="755"/>
      <c r="U4" s="753"/>
      <c r="V4" s="753"/>
      <c r="W4" s="753"/>
    </row>
    <row r="5" spans="1:90" s="822" customFormat="1" ht="213.75">
      <c r="A5" s="833" t="s">
        <v>2175</v>
      </c>
      <c r="B5" s="1038" t="s">
        <v>2232</v>
      </c>
      <c r="C5" s="829"/>
      <c r="D5" s="593" t="s">
        <v>18</v>
      </c>
      <c r="E5" s="831">
        <v>1</v>
      </c>
      <c r="F5" s="831">
        <v>1</v>
      </c>
      <c r="G5" s="831">
        <v>1</v>
      </c>
      <c r="H5" s="831">
        <v>1</v>
      </c>
      <c r="I5" s="831">
        <v>1</v>
      </c>
      <c r="J5" s="831">
        <v>1</v>
      </c>
      <c r="K5" s="831">
        <v>1</v>
      </c>
      <c r="L5" s="831">
        <v>1</v>
      </c>
      <c r="M5" s="831">
        <v>1</v>
      </c>
      <c r="N5" s="831">
        <v>1</v>
      </c>
      <c r="O5" s="831">
        <v>1</v>
      </c>
      <c r="P5" s="831">
        <v>1</v>
      </c>
      <c r="Q5" s="831">
        <v>1</v>
      </c>
      <c r="R5" s="831">
        <v>1</v>
      </c>
      <c r="S5" s="831">
        <v>1</v>
      </c>
      <c r="T5" s="831">
        <v>1</v>
      </c>
      <c r="U5" s="1096">
        <f>SUM(E5:T5)</f>
        <v>16</v>
      </c>
      <c r="V5" s="1097"/>
      <c r="W5" s="1096">
        <f>U5*V5</f>
        <v>0</v>
      </c>
    </row>
    <row r="6" spans="1:90" s="641" customFormat="1">
      <c r="A6" s="752" t="s">
        <v>220</v>
      </c>
      <c r="B6" s="762" t="s">
        <v>1133</v>
      </c>
      <c r="C6" s="753"/>
      <c r="D6" s="754"/>
      <c r="E6" s="830"/>
      <c r="F6" s="830"/>
      <c r="G6" s="830"/>
      <c r="H6" s="755"/>
      <c r="I6" s="755"/>
      <c r="J6" s="755"/>
      <c r="K6" s="755"/>
      <c r="L6" s="755"/>
      <c r="M6" s="755"/>
      <c r="N6" s="755"/>
      <c r="O6" s="755"/>
      <c r="P6" s="755"/>
      <c r="Q6" s="755"/>
      <c r="R6" s="755"/>
      <c r="S6" s="755"/>
      <c r="T6" s="755"/>
      <c r="U6" s="754"/>
      <c r="V6" s="754"/>
      <c r="W6" s="754"/>
    </row>
    <row r="7" spans="1:90" s="822" customFormat="1" ht="71.25">
      <c r="A7" s="833" t="s">
        <v>2176</v>
      </c>
      <c r="B7" s="834" t="s">
        <v>1134</v>
      </c>
      <c r="C7" s="829"/>
      <c r="D7" s="593" t="s">
        <v>18</v>
      </c>
      <c r="E7" s="831">
        <v>1</v>
      </c>
      <c r="F7" s="831">
        <v>1</v>
      </c>
      <c r="G7" s="831">
        <v>1</v>
      </c>
      <c r="H7" s="831">
        <v>1</v>
      </c>
      <c r="I7" s="831">
        <v>1</v>
      </c>
      <c r="J7" s="831">
        <v>1</v>
      </c>
      <c r="K7" s="831">
        <v>1</v>
      </c>
      <c r="L7" s="831">
        <v>1</v>
      </c>
      <c r="M7" s="831">
        <v>1</v>
      </c>
      <c r="N7" s="831">
        <v>1</v>
      </c>
      <c r="O7" s="831">
        <v>1</v>
      </c>
      <c r="P7" s="831">
        <v>1</v>
      </c>
      <c r="Q7" s="831">
        <v>1</v>
      </c>
      <c r="R7" s="831">
        <v>1</v>
      </c>
      <c r="S7" s="831">
        <v>1</v>
      </c>
      <c r="T7" s="831">
        <v>1</v>
      </c>
      <c r="U7" s="1096">
        <f>SUM(E7:T7)</f>
        <v>16</v>
      </c>
      <c r="V7" s="1097"/>
      <c r="W7" s="1096">
        <f>U7*V7</f>
        <v>0</v>
      </c>
    </row>
    <row r="8" spans="1:90" s="641" customFormat="1">
      <c r="A8" s="752" t="s">
        <v>221</v>
      </c>
      <c r="B8" s="762" t="s">
        <v>1135</v>
      </c>
      <c r="C8" s="753"/>
      <c r="D8" s="754"/>
      <c r="E8" s="830"/>
      <c r="F8" s="830"/>
      <c r="G8" s="830"/>
      <c r="H8" s="755"/>
      <c r="I8" s="755"/>
      <c r="J8" s="755"/>
      <c r="K8" s="755"/>
      <c r="L8" s="755"/>
      <c r="M8" s="755"/>
      <c r="N8" s="755"/>
      <c r="O8" s="755"/>
      <c r="P8" s="755"/>
      <c r="Q8" s="755"/>
      <c r="R8" s="755"/>
      <c r="S8" s="755"/>
      <c r="T8" s="755"/>
      <c r="U8" s="754"/>
      <c r="V8" s="754"/>
      <c r="W8" s="754"/>
    </row>
    <row r="9" spans="1:90" ht="28.5">
      <c r="A9" s="654" t="s">
        <v>2177</v>
      </c>
      <c r="B9" s="761" t="s">
        <v>1136</v>
      </c>
      <c r="C9" s="593"/>
      <c r="D9" s="593" t="s">
        <v>18</v>
      </c>
      <c r="E9" s="831">
        <v>1</v>
      </c>
      <c r="F9" s="831">
        <v>1</v>
      </c>
      <c r="G9" s="831">
        <v>1</v>
      </c>
      <c r="H9" s="831">
        <v>1</v>
      </c>
      <c r="I9" s="831">
        <v>1</v>
      </c>
      <c r="J9" s="831">
        <v>1</v>
      </c>
      <c r="K9" s="831">
        <v>1</v>
      </c>
      <c r="L9" s="831">
        <v>1</v>
      </c>
      <c r="M9" s="831">
        <v>1</v>
      </c>
      <c r="N9" s="831">
        <v>1</v>
      </c>
      <c r="O9" s="831">
        <v>1</v>
      </c>
      <c r="P9" s="831">
        <v>1</v>
      </c>
      <c r="Q9" s="831">
        <v>1</v>
      </c>
      <c r="R9" s="831">
        <v>1</v>
      </c>
      <c r="S9" s="831">
        <v>1</v>
      </c>
      <c r="T9" s="831">
        <v>1</v>
      </c>
      <c r="U9" s="1096">
        <f>SUM(E9:T9)</f>
        <v>16</v>
      </c>
      <c r="V9" s="1097"/>
      <c r="W9" s="1096">
        <f>U9*V9</f>
        <v>0</v>
      </c>
    </row>
    <row r="10" spans="1:90">
      <c r="A10" s="757"/>
      <c r="B10" s="758"/>
      <c r="C10" s="759"/>
      <c r="D10" s="759"/>
      <c r="E10" s="759"/>
      <c r="F10" s="759"/>
      <c r="G10" s="759"/>
      <c r="H10" s="760"/>
      <c r="I10" s="760"/>
      <c r="J10" s="760"/>
      <c r="K10" s="760"/>
      <c r="L10" s="760"/>
      <c r="M10" s="760"/>
      <c r="N10" s="760"/>
      <c r="O10" s="760"/>
      <c r="P10" s="760"/>
      <c r="Q10" s="760"/>
      <c r="R10" s="760"/>
      <c r="S10" s="760"/>
      <c r="T10" s="760"/>
      <c r="U10" s="759"/>
      <c r="V10" s="759"/>
      <c r="W10" s="759"/>
    </row>
    <row r="11" spans="1:90">
      <c r="A11" s="644"/>
      <c r="B11" s="645"/>
      <c r="C11" s="646"/>
      <c r="D11" s="646"/>
      <c r="E11" s="646"/>
      <c r="F11" s="646"/>
      <c r="G11" s="646"/>
      <c r="H11" s="643"/>
      <c r="I11" s="643"/>
      <c r="J11" s="643"/>
      <c r="K11" s="643"/>
      <c r="L11" s="643"/>
      <c r="M11" s="643"/>
      <c r="N11" s="643"/>
      <c r="O11" s="643"/>
      <c r="P11" s="643"/>
      <c r="Q11" s="643"/>
      <c r="R11" s="643"/>
      <c r="S11" s="643"/>
      <c r="T11" s="643"/>
      <c r="U11" s="646"/>
      <c r="V11" s="646"/>
      <c r="W11" s="646"/>
    </row>
    <row r="12" spans="1:90">
      <c r="A12" s="647"/>
      <c r="B12" s="648"/>
      <c r="C12" s="649"/>
      <c r="D12" s="649"/>
      <c r="H12" s="643"/>
      <c r="I12" s="643"/>
      <c r="J12" s="643"/>
      <c r="K12" s="643"/>
      <c r="L12" s="643"/>
      <c r="M12" s="643"/>
      <c r="N12" s="643"/>
      <c r="O12" s="643"/>
      <c r="P12" s="643"/>
      <c r="Q12" s="643"/>
      <c r="R12" s="643"/>
      <c r="S12" s="643"/>
      <c r="T12" s="643"/>
      <c r="U12" s="649"/>
      <c r="V12" s="649"/>
      <c r="W12" s="649"/>
    </row>
    <row r="13" spans="1:90">
      <c r="A13" s="647"/>
      <c r="B13" s="648"/>
      <c r="C13" s="649"/>
      <c r="D13" s="649"/>
      <c r="H13" s="643"/>
      <c r="I13" s="643"/>
      <c r="J13" s="643"/>
      <c r="K13" s="643"/>
      <c r="L13" s="643"/>
      <c r="M13" s="643"/>
      <c r="N13" s="643"/>
      <c r="O13" s="643"/>
      <c r="P13" s="643"/>
      <c r="Q13" s="643"/>
      <c r="R13" s="643"/>
      <c r="S13" s="643"/>
      <c r="T13" s="643"/>
      <c r="U13" s="649"/>
      <c r="V13" s="649"/>
      <c r="W13" s="649"/>
    </row>
    <row r="14" spans="1:90">
      <c r="A14" s="647"/>
      <c r="B14" s="648"/>
      <c r="C14" s="649"/>
      <c r="D14" s="649"/>
      <c r="H14" s="643"/>
      <c r="I14" s="643"/>
      <c r="J14" s="643"/>
      <c r="K14" s="643"/>
      <c r="L14" s="643"/>
      <c r="M14" s="643"/>
      <c r="N14" s="643"/>
      <c r="O14" s="643"/>
      <c r="P14" s="643"/>
      <c r="Q14" s="643"/>
      <c r="R14" s="643"/>
      <c r="S14" s="643"/>
      <c r="T14" s="643"/>
      <c r="U14" s="649"/>
      <c r="V14" s="649"/>
      <c r="W14" s="649"/>
    </row>
    <row r="15" spans="1:90">
      <c r="A15" s="647"/>
      <c r="B15" s="648"/>
      <c r="C15" s="649"/>
      <c r="D15" s="649"/>
      <c r="H15" s="643"/>
      <c r="I15" s="643"/>
      <c r="J15" s="643"/>
      <c r="K15" s="643"/>
      <c r="L15" s="643"/>
      <c r="M15" s="643"/>
      <c r="N15" s="643"/>
      <c r="O15" s="643"/>
      <c r="P15" s="643"/>
      <c r="Q15" s="643"/>
      <c r="R15" s="643"/>
      <c r="S15" s="643"/>
      <c r="T15" s="643"/>
      <c r="U15" s="649"/>
      <c r="V15" s="649"/>
      <c r="W15" s="649"/>
    </row>
    <row r="16" spans="1:90">
      <c r="A16" s="647"/>
      <c r="B16" s="648"/>
      <c r="C16" s="649"/>
      <c r="D16" s="649"/>
      <c r="H16" s="643"/>
      <c r="I16" s="643"/>
      <c r="J16" s="643"/>
      <c r="K16" s="643"/>
      <c r="L16" s="643"/>
      <c r="M16" s="643"/>
      <c r="N16" s="643"/>
      <c r="O16" s="643"/>
      <c r="P16" s="643"/>
      <c r="Q16" s="643"/>
      <c r="R16" s="643"/>
      <c r="S16" s="643"/>
      <c r="T16" s="643"/>
      <c r="U16" s="649"/>
      <c r="V16" s="649"/>
      <c r="W16" s="649"/>
    </row>
    <row r="17" spans="1:23">
      <c r="A17" s="647"/>
      <c r="B17" s="648"/>
      <c r="C17" s="649"/>
      <c r="D17" s="649"/>
      <c r="H17" s="643"/>
      <c r="I17" s="651"/>
      <c r="J17" s="643"/>
      <c r="K17" s="651"/>
      <c r="L17" s="643"/>
      <c r="M17" s="651"/>
      <c r="N17" s="643"/>
      <c r="O17" s="643"/>
      <c r="P17" s="643"/>
      <c r="Q17" s="643"/>
      <c r="R17" s="643"/>
      <c r="S17" s="643"/>
      <c r="T17" s="643"/>
      <c r="U17" s="649"/>
      <c r="V17" s="649"/>
      <c r="W17" s="649"/>
    </row>
    <row r="18" spans="1:23">
      <c r="A18" s="647"/>
      <c r="B18" s="648"/>
      <c r="C18" s="649"/>
      <c r="D18" s="649"/>
      <c r="I18" s="652"/>
      <c r="K18" s="652"/>
      <c r="M18" s="652"/>
      <c r="U18" s="649"/>
      <c r="V18" s="649"/>
      <c r="W18" s="649"/>
    </row>
    <row r="19" spans="1:23">
      <c r="A19" s="647"/>
      <c r="B19" s="648"/>
      <c r="C19" s="649"/>
      <c r="D19" s="649"/>
      <c r="I19" s="652"/>
      <c r="K19" s="652"/>
      <c r="M19" s="652"/>
      <c r="U19" s="649"/>
      <c r="V19" s="649"/>
      <c r="W19" s="649"/>
    </row>
    <row r="20" spans="1:23">
      <c r="A20" s="647"/>
      <c r="B20" s="648"/>
      <c r="C20" s="649"/>
      <c r="D20" s="649"/>
      <c r="I20" s="652"/>
      <c r="K20" s="652"/>
      <c r="M20" s="652"/>
      <c r="U20" s="649"/>
      <c r="V20" s="649"/>
      <c r="W20" s="649"/>
    </row>
    <row r="21" spans="1:23">
      <c r="A21" s="647"/>
      <c r="B21" s="648"/>
      <c r="C21" s="649"/>
      <c r="D21" s="649"/>
      <c r="I21" s="652"/>
      <c r="K21" s="652"/>
      <c r="M21" s="652"/>
      <c r="U21" s="649"/>
      <c r="V21" s="649"/>
      <c r="W21" s="649"/>
    </row>
    <row r="22" spans="1:23">
      <c r="A22" s="647"/>
      <c r="B22" s="648"/>
      <c r="C22" s="649"/>
      <c r="D22" s="649"/>
      <c r="I22" s="652"/>
      <c r="K22" s="652"/>
      <c r="M22" s="652"/>
      <c r="U22" s="649"/>
      <c r="V22" s="649"/>
      <c r="W22" s="649"/>
    </row>
    <row r="23" spans="1:23">
      <c r="A23" s="647"/>
      <c r="B23" s="648"/>
      <c r="C23" s="649"/>
      <c r="D23" s="649"/>
      <c r="I23" s="652"/>
      <c r="K23" s="652"/>
      <c r="M23" s="652"/>
      <c r="U23" s="649"/>
      <c r="V23" s="649"/>
      <c r="W23" s="649"/>
    </row>
    <row r="24" spans="1:23">
      <c r="A24" s="647"/>
      <c r="B24" s="648"/>
      <c r="C24" s="649"/>
      <c r="D24" s="649"/>
      <c r="I24" s="652"/>
      <c r="K24" s="652"/>
      <c r="M24" s="652"/>
      <c r="U24" s="649"/>
      <c r="V24" s="649"/>
      <c r="W24" s="649"/>
    </row>
    <row r="25" spans="1:23">
      <c r="A25" s="647"/>
      <c r="B25" s="648"/>
      <c r="C25" s="649"/>
      <c r="D25" s="649"/>
      <c r="I25" s="652"/>
      <c r="K25" s="652"/>
      <c r="M25" s="652"/>
      <c r="U25" s="649"/>
      <c r="V25" s="649"/>
      <c r="W25" s="649"/>
    </row>
    <row r="26" spans="1:23">
      <c r="A26" s="647"/>
      <c r="B26" s="648"/>
      <c r="C26" s="649"/>
      <c r="D26" s="649"/>
      <c r="I26" s="652"/>
      <c r="K26" s="652"/>
      <c r="M26" s="652"/>
      <c r="U26" s="649"/>
      <c r="V26" s="649"/>
      <c r="W26" s="649"/>
    </row>
    <row r="27" spans="1:23">
      <c r="A27" s="647"/>
      <c r="B27" s="648"/>
      <c r="C27" s="649"/>
      <c r="D27" s="649"/>
      <c r="I27" s="652"/>
      <c r="K27" s="652"/>
      <c r="M27" s="652"/>
      <c r="U27" s="649"/>
      <c r="V27" s="649"/>
      <c r="W27" s="649"/>
    </row>
    <row r="28" spans="1:23">
      <c r="A28" s="647"/>
      <c r="B28" s="648"/>
      <c r="C28" s="649"/>
      <c r="D28" s="649"/>
      <c r="I28" s="652"/>
      <c r="K28" s="652"/>
      <c r="M28" s="652"/>
      <c r="U28" s="649"/>
      <c r="V28" s="649"/>
      <c r="W28" s="649"/>
    </row>
    <row r="29" spans="1:23">
      <c r="A29" s="647"/>
      <c r="B29" s="648"/>
      <c r="C29" s="649"/>
      <c r="D29" s="649"/>
      <c r="I29" s="652"/>
      <c r="K29" s="652"/>
      <c r="M29" s="652"/>
      <c r="U29" s="649"/>
      <c r="V29" s="649"/>
      <c r="W29" s="649"/>
    </row>
    <row r="30" spans="1:23">
      <c r="A30" s="647"/>
      <c r="B30" s="648"/>
      <c r="C30" s="649"/>
      <c r="D30" s="649"/>
      <c r="I30" s="652"/>
      <c r="K30" s="652"/>
      <c r="M30" s="652"/>
      <c r="U30" s="649"/>
      <c r="V30" s="649"/>
      <c r="W30" s="649"/>
    </row>
    <row r="31" spans="1:23">
      <c r="A31" s="647"/>
      <c r="B31" s="648"/>
      <c r="C31" s="649"/>
      <c r="D31" s="649"/>
      <c r="I31" s="652"/>
      <c r="K31" s="652"/>
      <c r="M31" s="652"/>
      <c r="U31" s="649"/>
      <c r="V31" s="649"/>
      <c r="W31" s="649"/>
    </row>
    <row r="32" spans="1:23">
      <c r="A32" s="647"/>
      <c r="B32" s="648"/>
      <c r="C32" s="649"/>
      <c r="D32" s="649"/>
      <c r="I32" s="652"/>
      <c r="K32" s="652"/>
      <c r="M32" s="652"/>
      <c r="U32" s="649"/>
      <c r="V32" s="649"/>
      <c r="W32" s="649"/>
    </row>
    <row r="33" spans="1:23">
      <c r="A33" s="647"/>
      <c r="B33" s="648"/>
      <c r="C33" s="649"/>
      <c r="D33" s="649"/>
      <c r="I33" s="652"/>
      <c r="K33" s="652"/>
      <c r="M33" s="652"/>
      <c r="U33" s="649"/>
      <c r="V33" s="649"/>
      <c r="W33" s="649"/>
    </row>
    <row r="34" spans="1:23">
      <c r="A34" s="647"/>
      <c r="B34" s="648"/>
      <c r="C34" s="649"/>
      <c r="D34" s="649"/>
      <c r="I34" s="652"/>
      <c r="K34" s="652"/>
      <c r="M34" s="652"/>
      <c r="U34" s="649"/>
      <c r="V34" s="649"/>
      <c r="W34" s="649"/>
    </row>
    <row r="35" spans="1:23">
      <c r="A35" s="647"/>
      <c r="B35" s="648"/>
      <c r="C35" s="649"/>
      <c r="D35" s="649"/>
      <c r="I35" s="652"/>
      <c r="K35" s="652"/>
      <c r="M35" s="652"/>
      <c r="U35" s="649"/>
      <c r="V35" s="649"/>
      <c r="W35" s="649"/>
    </row>
    <row r="36" spans="1:23">
      <c r="A36" s="647"/>
      <c r="B36" s="648"/>
      <c r="C36" s="649"/>
      <c r="D36" s="649"/>
      <c r="I36" s="652"/>
      <c r="K36" s="652"/>
      <c r="M36" s="652"/>
      <c r="U36" s="649"/>
      <c r="V36" s="649"/>
      <c r="W36" s="649"/>
    </row>
    <row r="37" spans="1:23">
      <c r="A37" s="647"/>
      <c r="B37" s="648"/>
      <c r="C37" s="649"/>
      <c r="D37" s="649"/>
      <c r="I37" s="652"/>
      <c r="K37" s="652"/>
      <c r="M37" s="652"/>
      <c r="U37" s="649"/>
      <c r="V37" s="649"/>
      <c r="W37" s="649"/>
    </row>
    <row r="38" spans="1:23">
      <c r="A38" s="647"/>
      <c r="B38" s="648"/>
      <c r="C38" s="649"/>
      <c r="D38" s="649"/>
      <c r="I38" s="652"/>
      <c r="K38" s="652"/>
      <c r="M38" s="652"/>
      <c r="U38" s="649"/>
      <c r="V38" s="649"/>
      <c r="W38" s="649"/>
    </row>
    <row r="39" spans="1:23">
      <c r="A39" s="647"/>
      <c r="B39" s="648"/>
      <c r="C39" s="649"/>
      <c r="D39" s="649"/>
      <c r="I39" s="652"/>
      <c r="K39" s="652"/>
      <c r="M39" s="652"/>
      <c r="U39" s="649"/>
      <c r="V39" s="649"/>
      <c r="W39" s="649"/>
    </row>
    <row r="40" spans="1:23">
      <c r="A40" s="647"/>
      <c r="B40" s="648"/>
      <c r="C40" s="649"/>
      <c r="D40" s="649"/>
      <c r="I40" s="652"/>
      <c r="K40" s="652"/>
      <c r="M40" s="652"/>
      <c r="U40" s="649"/>
      <c r="V40" s="649"/>
      <c r="W40" s="649"/>
    </row>
    <row r="41" spans="1:23">
      <c r="A41" s="647"/>
      <c r="B41" s="648"/>
      <c r="C41" s="649"/>
      <c r="D41" s="649"/>
      <c r="I41" s="652"/>
      <c r="K41" s="652"/>
      <c r="M41" s="652"/>
      <c r="U41" s="649"/>
      <c r="V41" s="649"/>
      <c r="W41" s="649"/>
    </row>
    <row r="42" spans="1:23">
      <c r="A42" s="647"/>
      <c r="B42" s="648"/>
      <c r="C42" s="649"/>
      <c r="D42" s="649"/>
      <c r="I42" s="652"/>
      <c r="K42" s="652"/>
      <c r="M42" s="652"/>
      <c r="U42" s="649"/>
      <c r="V42" s="649"/>
      <c r="W42" s="649"/>
    </row>
    <row r="43" spans="1:23">
      <c r="A43" s="647"/>
      <c r="B43" s="648"/>
      <c r="C43" s="649"/>
      <c r="D43" s="649"/>
      <c r="I43" s="652"/>
      <c r="K43" s="652"/>
      <c r="M43" s="652"/>
      <c r="U43" s="649"/>
      <c r="V43" s="649"/>
      <c r="W43" s="649"/>
    </row>
    <row r="44" spans="1:23">
      <c r="A44" s="647"/>
      <c r="B44" s="648"/>
      <c r="C44" s="649"/>
      <c r="D44" s="649"/>
      <c r="I44" s="652"/>
      <c r="K44" s="652"/>
      <c r="M44" s="652"/>
      <c r="U44" s="649"/>
      <c r="V44" s="649"/>
      <c r="W44" s="649"/>
    </row>
    <row r="45" spans="1:23">
      <c r="A45" s="647"/>
      <c r="B45" s="648"/>
      <c r="C45" s="649"/>
      <c r="D45" s="649"/>
      <c r="I45" s="652"/>
      <c r="K45" s="652"/>
      <c r="M45" s="652"/>
      <c r="U45" s="649"/>
      <c r="V45" s="649"/>
      <c r="W45" s="649"/>
    </row>
    <row r="46" spans="1:23">
      <c r="A46" s="647"/>
      <c r="B46" s="648"/>
      <c r="C46" s="649"/>
      <c r="D46" s="649"/>
      <c r="I46" s="652"/>
      <c r="K46" s="652"/>
      <c r="M46" s="652"/>
      <c r="U46" s="649"/>
      <c r="V46" s="649"/>
      <c r="W46" s="649"/>
    </row>
    <row r="47" spans="1:23">
      <c r="A47" s="647"/>
      <c r="B47" s="648"/>
      <c r="C47" s="649"/>
      <c r="D47" s="649"/>
      <c r="I47" s="652"/>
      <c r="K47" s="652"/>
      <c r="M47" s="652"/>
      <c r="U47" s="649"/>
      <c r="V47" s="649"/>
      <c r="W47" s="649"/>
    </row>
    <row r="48" spans="1:23">
      <c r="A48" s="647"/>
      <c r="B48" s="648"/>
      <c r="C48" s="649"/>
      <c r="D48" s="649"/>
      <c r="I48" s="652"/>
      <c r="K48" s="652"/>
      <c r="M48" s="652"/>
      <c r="U48" s="649"/>
      <c r="V48" s="649"/>
      <c r="W48" s="649"/>
    </row>
    <row r="49" spans="1:23">
      <c r="A49" s="647"/>
      <c r="B49" s="648"/>
      <c r="C49" s="649"/>
      <c r="D49" s="649"/>
      <c r="I49" s="652"/>
      <c r="K49" s="652"/>
      <c r="M49" s="652"/>
      <c r="U49" s="649"/>
      <c r="V49" s="649"/>
      <c r="W49" s="649"/>
    </row>
    <row r="50" spans="1:23">
      <c r="A50" s="647"/>
      <c r="B50" s="648"/>
      <c r="C50" s="649"/>
      <c r="D50" s="649"/>
      <c r="I50" s="652"/>
      <c r="K50" s="652"/>
      <c r="M50" s="652"/>
      <c r="U50" s="649"/>
      <c r="V50" s="649"/>
      <c r="W50" s="649"/>
    </row>
    <row r="51" spans="1:23">
      <c r="A51" s="647"/>
      <c r="B51" s="648"/>
      <c r="C51" s="649"/>
      <c r="D51" s="649"/>
      <c r="I51" s="652"/>
      <c r="K51" s="652"/>
      <c r="M51" s="652"/>
      <c r="U51" s="649"/>
      <c r="V51" s="649"/>
      <c r="W51" s="649"/>
    </row>
    <row r="52" spans="1:23">
      <c r="A52" s="647"/>
      <c r="B52" s="648"/>
      <c r="C52" s="649"/>
      <c r="D52" s="649"/>
      <c r="I52" s="652"/>
      <c r="K52" s="652"/>
      <c r="M52" s="652"/>
      <c r="U52" s="649"/>
      <c r="V52" s="649"/>
      <c r="W52" s="649"/>
    </row>
    <row r="53" spans="1:23">
      <c r="A53" s="647"/>
      <c r="B53" s="648"/>
      <c r="C53" s="649"/>
      <c r="D53" s="649"/>
      <c r="I53" s="652"/>
      <c r="K53" s="652"/>
      <c r="M53" s="652"/>
      <c r="U53" s="649"/>
      <c r="V53" s="649"/>
      <c r="W53" s="649"/>
    </row>
    <row r="54" spans="1:23">
      <c r="A54" s="647"/>
      <c r="B54" s="648"/>
      <c r="C54" s="649"/>
      <c r="D54" s="649"/>
      <c r="I54" s="652"/>
      <c r="K54" s="652"/>
      <c r="M54" s="652"/>
      <c r="U54" s="649"/>
      <c r="V54" s="649"/>
      <c r="W54" s="649"/>
    </row>
    <row r="55" spans="1:23">
      <c r="A55" s="647"/>
      <c r="B55" s="648"/>
      <c r="C55" s="649"/>
      <c r="D55" s="649"/>
      <c r="I55" s="652"/>
      <c r="K55" s="652"/>
      <c r="M55" s="652"/>
      <c r="U55" s="649"/>
      <c r="V55" s="649"/>
      <c r="W55" s="649"/>
    </row>
    <row r="56" spans="1:23">
      <c r="A56" s="647"/>
      <c r="B56" s="648"/>
      <c r="C56" s="649"/>
      <c r="D56" s="649"/>
      <c r="I56" s="652"/>
      <c r="K56" s="652"/>
      <c r="M56" s="652"/>
      <c r="U56" s="649"/>
      <c r="V56" s="649"/>
      <c r="W56" s="649"/>
    </row>
    <row r="57" spans="1:23">
      <c r="A57" s="647"/>
      <c r="B57" s="648"/>
      <c r="C57" s="649"/>
      <c r="D57" s="649"/>
      <c r="I57" s="652"/>
      <c r="K57" s="652"/>
      <c r="M57" s="652"/>
      <c r="U57" s="649"/>
      <c r="V57" s="649"/>
      <c r="W57" s="649"/>
    </row>
    <row r="58" spans="1:23">
      <c r="A58" s="647"/>
      <c r="B58" s="648"/>
      <c r="C58" s="649"/>
      <c r="D58" s="649"/>
      <c r="I58" s="652"/>
      <c r="K58" s="652"/>
      <c r="M58" s="652"/>
      <c r="U58" s="649"/>
      <c r="V58" s="649"/>
      <c r="W58" s="649"/>
    </row>
    <row r="59" spans="1:23">
      <c r="A59" s="647"/>
      <c r="B59" s="648"/>
      <c r="C59" s="649"/>
      <c r="D59" s="649"/>
      <c r="I59" s="652"/>
      <c r="K59" s="652"/>
      <c r="M59" s="652"/>
      <c r="U59" s="649"/>
      <c r="V59" s="649"/>
      <c r="W59" s="649"/>
    </row>
    <row r="60" spans="1:23">
      <c r="A60" s="647"/>
      <c r="B60" s="648"/>
      <c r="C60" s="649"/>
      <c r="D60" s="649"/>
      <c r="I60" s="652"/>
      <c r="K60" s="652"/>
      <c r="M60" s="652"/>
      <c r="U60" s="649"/>
      <c r="V60" s="649"/>
      <c r="W60" s="649"/>
    </row>
    <row r="61" spans="1:23">
      <c r="A61" s="647"/>
      <c r="B61" s="648"/>
      <c r="C61" s="649"/>
      <c r="D61" s="649"/>
      <c r="I61" s="652"/>
      <c r="K61" s="652"/>
      <c r="M61" s="652"/>
      <c r="U61" s="649"/>
      <c r="V61" s="649"/>
      <c r="W61" s="649"/>
    </row>
    <row r="62" spans="1:23">
      <c r="A62" s="647"/>
      <c r="B62" s="648"/>
      <c r="C62" s="649"/>
      <c r="D62" s="649"/>
      <c r="I62" s="652"/>
      <c r="K62" s="652"/>
      <c r="M62" s="652"/>
      <c r="U62" s="649"/>
      <c r="V62" s="649"/>
      <c r="W62" s="649"/>
    </row>
    <row r="63" spans="1:23">
      <c r="A63" s="647"/>
      <c r="B63" s="648"/>
      <c r="C63" s="649"/>
      <c r="D63" s="649"/>
      <c r="I63" s="652"/>
      <c r="K63" s="652"/>
      <c r="M63" s="652"/>
      <c r="U63" s="649"/>
      <c r="V63" s="649"/>
      <c r="W63" s="649"/>
    </row>
    <row r="64" spans="1:23">
      <c r="A64" s="647"/>
      <c r="B64" s="648"/>
      <c r="C64" s="649"/>
      <c r="D64" s="649"/>
      <c r="I64" s="652"/>
      <c r="K64" s="652"/>
      <c r="M64" s="652"/>
      <c r="U64" s="649"/>
      <c r="V64" s="649"/>
      <c r="W64" s="649"/>
    </row>
    <row r="65" spans="1:23">
      <c r="A65" s="647"/>
      <c r="B65" s="648"/>
      <c r="C65" s="649"/>
      <c r="D65" s="649"/>
      <c r="I65" s="652"/>
      <c r="K65" s="652"/>
      <c r="M65" s="652"/>
      <c r="U65" s="649"/>
      <c r="V65" s="649"/>
      <c r="W65" s="649"/>
    </row>
    <row r="66" spans="1:23">
      <c r="A66" s="647"/>
      <c r="B66" s="648"/>
      <c r="C66" s="649"/>
      <c r="D66" s="649"/>
      <c r="I66" s="652"/>
      <c r="K66" s="652"/>
      <c r="M66" s="652"/>
      <c r="U66" s="649"/>
      <c r="V66" s="649"/>
      <c r="W66" s="649"/>
    </row>
    <row r="67" spans="1:23">
      <c r="A67" s="647"/>
      <c r="B67" s="648"/>
      <c r="C67" s="649"/>
      <c r="D67" s="649"/>
      <c r="I67" s="652"/>
      <c r="K67" s="652"/>
      <c r="M67" s="652"/>
      <c r="U67" s="649"/>
      <c r="V67" s="649"/>
      <c r="W67" s="649"/>
    </row>
    <row r="68" spans="1:23">
      <c r="A68" s="647"/>
      <c r="B68" s="648"/>
      <c r="C68" s="649"/>
      <c r="D68" s="649"/>
      <c r="I68" s="652"/>
      <c r="K68" s="652"/>
      <c r="M68" s="652"/>
      <c r="U68" s="649"/>
      <c r="V68" s="649"/>
      <c r="W68" s="649"/>
    </row>
    <row r="69" spans="1:23">
      <c r="A69" s="647"/>
      <c r="B69" s="648"/>
      <c r="C69" s="649"/>
      <c r="D69" s="649"/>
      <c r="I69" s="652"/>
      <c r="K69" s="652"/>
      <c r="M69" s="652"/>
      <c r="U69" s="649"/>
      <c r="V69" s="649"/>
      <c r="W69" s="649"/>
    </row>
    <row r="70" spans="1:23">
      <c r="A70" s="647"/>
      <c r="B70" s="648"/>
      <c r="C70" s="649"/>
      <c r="D70" s="649"/>
      <c r="I70" s="652"/>
      <c r="K70" s="652"/>
      <c r="M70" s="652"/>
      <c r="U70" s="649"/>
      <c r="V70" s="649"/>
      <c r="W70" s="649"/>
    </row>
    <row r="71" spans="1:23">
      <c r="A71" s="647"/>
      <c r="B71" s="648"/>
      <c r="C71" s="649"/>
      <c r="D71" s="649"/>
      <c r="I71" s="652"/>
      <c r="K71" s="652"/>
      <c r="M71" s="652"/>
      <c r="U71" s="649"/>
      <c r="V71" s="649"/>
      <c r="W71" s="649"/>
    </row>
    <row r="72" spans="1:23">
      <c r="A72" s="647"/>
      <c r="B72" s="648"/>
      <c r="C72" s="649"/>
      <c r="D72" s="649"/>
      <c r="I72" s="652"/>
      <c r="K72" s="652"/>
      <c r="M72" s="652"/>
      <c r="U72" s="649"/>
      <c r="V72" s="649"/>
      <c r="W72" s="649"/>
    </row>
    <row r="73" spans="1:23">
      <c r="A73" s="647"/>
      <c r="B73" s="648"/>
      <c r="C73" s="649"/>
      <c r="D73" s="649"/>
      <c r="I73" s="652"/>
      <c r="K73" s="652"/>
      <c r="M73" s="652"/>
      <c r="U73" s="649"/>
      <c r="V73" s="649"/>
      <c r="W73" s="649"/>
    </row>
    <row r="74" spans="1:23">
      <c r="A74" s="647"/>
      <c r="B74" s="648"/>
      <c r="C74" s="649"/>
      <c r="D74" s="649"/>
      <c r="I74" s="652"/>
      <c r="K74" s="652"/>
      <c r="M74" s="652"/>
      <c r="U74" s="649"/>
      <c r="V74" s="649"/>
      <c r="W74" s="649"/>
    </row>
    <row r="75" spans="1:23">
      <c r="A75" s="647"/>
      <c r="B75" s="648"/>
      <c r="C75" s="649"/>
      <c r="D75" s="649"/>
      <c r="I75" s="652"/>
      <c r="K75" s="652"/>
      <c r="M75" s="652"/>
      <c r="U75" s="649"/>
      <c r="V75" s="649"/>
      <c r="W75" s="649"/>
    </row>
    <row r="76" spans="1:23">
      <c r="A76" s="647"/>
      <c r="B76" s="648"/>
      <c r="C76" s="649"/>
      <c r="D76" s="649"/>
      <c r="I76" s="652"/>
      <c r="K76" s="652"/>
      <c r="M76" s="652"/>
      <c r="U76" s="649"/>
      <c r="V76" s="649"/>
      <c r="W76" s="649"/>
    </row>
    <row r="77" spans="1:23">
      <c r="A77" s="647"/>
      <c r="B77" s="648"/>
      <c r="C77" s="649"/>
      <c r="D77" s="649"/>
      <c r="I77" s="652"/>
      <c r="K77" s="652"/>
      <c r="M77" s="652"/>
      <c r="U77" s="649"/>
      <c r="V77" s="649"/>
      <c r="W77" s="649"/>
    </row>
    <row r="78" spans="1:23">
      <c r="A78" s="647"/>
      <c r="B78" s="648"/>
      <c r="C78" s="649"/>
      <c r="D78" s="649"/>
      <c r="I78" s="652"/>
      <c r="K78" s="652"/>
      <c r="M78" s="652"/>
      <c r="U78" s="649"/>
      <c r="V78" s="649"/>
      <c r="W78" s="649"/>
    </row>
    <row r="79" spans="1:23">
      <c r="A79" s="647"/>
      <c r="B79" s="648"/>
      <c r="C79" s="649"/>
      <c r="D79" s="649"/>
      <c r="I79" s="652"/>
      <c r="K79" s="652"/>
      <c r="M79" s="652"/>
      <c r="U79" s="649"/>
      <c r="V79" s="649"/>
      <c r="W79" s="649"/>
    </row>
    <row r="80" spans="1:23">
      <c r="A80" s="647"/>
      <c r="B80" s="648"/>
      <c r="C80" s="649"/>
      <c r="D80" s="649"/>
      <c r="I80" s="652"/>
      <c r="K80" s="652"/>
      <c r="M80" s="652"/>
      <c r="U80" s="649"/>
      <c r="V80" s="649"/>
      <c r="W80" s="649"/>
    </row>
    <row r="81" spans="1:23">
      <c r="A81" s="647"/>
      <c r="B81" s="648"/>
      <c r="C81" s="649"/>
      <c r="D81" s="649"/>
      <c r="I81" s="652"/>
      <c r="K81" s="652"/>
      <c r="M81" s="652"/>
      <c r="U81" s="649"/>
      <c r="V81" s="649"/>
      <c r="W81" s="649"/>
    </row>
    <row r="82" spans="1:23">
      <c r="A82" s="647"/>
      <c r="B82" s="648"/>
      <c r="C82" s="649"/>
      <c r="D82" s="649"/>
      <c r="I82" s="652"/>
      <c r="K82" s="652"/>
      <c r="M82" s="652"/>
      <c r="U82" s="649"/>
      <c r="V82" s="649"/>
      <c r="W82" s="649"/>
    </row>
    <row r="83" spans="1:23">
      <c r="A83" s="647"/>
      <c r="B83" s="648"/>
      <c r="C83" s="649"/>
      <c r="D83" s="649"/>
      <c r="I83" s="652"/>
      <c r="K83" s="652"/>
      <c r="M83" s="652"/>
      <c r="U83" s="649"/>
      <c r="V83" s="649"/>
      <c r="W83" s="649"/>
    </row>
    <row r="84" spans="1:23">
      <c r="A84" s="647"/>
      <c r="B84" s="648"/>
      <c r="C84" s="649"/>
      <c r="D84" s="649"/>
      <c r="I84" s="652"/>
      <c r="K84" s="652"/>
      <c r="M84" s="652"/>
      <c r="U84" s="649"/>
      <c r="V84" s="649"/>
      <c r="W84" s="649"/>
    </row>
    <row r="85" spans="1:23">
      <c r="A85" s="647"/>
      <c r="B85" s="648"/>
      <c r="C85" s="649"/>
      <c r="D85" s="649"/>
      <c r="I85" s="652"/>
      <c r="K85" s="652"/>
      <c r="M85" s="652"/>
      <c r="U85" s="649"/>
      <c r="V85" s="649"/>
      <c r="W85" s="649"/>
    </row>
    <row r="86" spans="1:23">
      <c r="A86" s="647"/>
      <c r="B86" s="648"/>
      <c r="C86" s="649"/>
      <c r="D86" s="649"/>
      <c r="I86" s="652"/>
      <c r="K86" s="652"/>
      <c r="M86" s="652"/>
      <c r="U86" s="649"/>
      <c r="V86" s="649"/>
      <c r="W86" s="649"/>
    </row>
    <row r="87" spans="1:23">
      <c r="A87" s="647"/>
      <c r="B87" s="648"/>
      <c r="C87" s="649"/>
      <c r="D87" s="649"/>
      <c r="I87" s="652"/>
      <c r="K87" s="652"/>
      <c r="M87" s="652"/>
      <c r="U87" s="649"/>
      <c r="V87" s="649"/>
      <c r="W87" s="649"/>
    </row>
    <row r="88" spans="1:23">
      <c r="A88" s="647"/>
      <c r="B88" s="648"/>
      <c r="C88" s="649"/>
      <c r="D88" s="649"/>
      <c r="I88" s="652"/>
      <c r="K88" s="652"/>
      <c r="M88" s="652"/>
      <c r="U88" s="649"/>
      <c r="V88" s="649"/>
      <c r="W88" s="649"/>
    </row>
    <row r="89" spans="1:23">
      <c r="A89" s="647"/>
      <c r="B89" s="648"/>
      <c r="C89" s="649"/>
      <c r="D89" s="649"/>
      <c r="I89" s="652"/>
      <c r="K89" s="652"/>
      <c r="M89" s="652"/>
      <c r="U89" s="649"/>
      <c r="V89" s="649"/>
      <c r="W89" s="649"/>
    </row>
    <row r="90" spans="1:23">
      <c r="A90" s="647"/>
      <c r="B90" s="648"/>
      <c r="C90" s="649"/>
      <c r="D90" s="649"/>
      <c r="I90" s="652"/>
      <c r="K90" s="652"/>
      <c r="M90" s="652"/>
      <c r="U90" s="649"/>
      <c r="V90" s="649"/>
      <c r="W90" s="649"/>
    </row>
    <row r="91" spans="1:23">
      <c r="A91" s="647"/>
      <c r="B91" s="648"/>
      <c r="C91" s="649"/>
      <c r="D91" s="649"/>
      <c r="I91" s="652"/>
      <c r="K91" s="652"/>
      <c r="M91" s="652"/>
      <c r="U91" s="649"/>
      <c r="V91" s="649"/>
      <c r="W91" s="649"/>
    </row>
    <row r="92" spans="1:23">
      <c r="A92" s="647"/>
      <c r="B92" s="648"/>
      <c r="C92" s="649"/>
      <c r="D92" s="649"/>
      <c r="I92" s="652"/>
      <c r="K92" s="652"/>
      <c r="M92" s="652"/>
      <c r="U92" s="649"/>
      <c r="V92" s="649"/>
      <c r="W92" s="649"/>
    </row>
    <row r="93" spans="1:23">
      <c r="A93" s="647"/>
      <c r="B93" s="648"/>
      <c r="C93" s="649"/>
      <c r="D93" s="649"/>
      <c r="I93" s="652"/>
      <c r="K93" s="652"/>
      <c r="M93" s="652"/>
      <c r="U93" s="649"/>
      <c r="V93" s="649"/>
      <c r="W93" s="649"/>
    </row>
    <row r="94" spans="1:23">
      <c r="A94" s="647"/>
      <c r="B94" s="648"/>
      <c r="C94" s="649"/>
      <c r="D94" s="649"/>
      <c r="I94" s="652"/>
      <c r="K94" s="652"/>
      <c r="M94" s="652"/>
      <c r="U94" s="649"/>
      <c r="V94" s="649"/>
      <c r="W94" s="649"/>
    </row>
    <row r="95" spans="1:23">
      <c r="A95" s="647"/>
      <c r="B95" s="648"/>
      <c r="C95" s="649"/>
      <c r="D95" s="649"/>
      <c r="I95" s="652"/>
      <c r="K95" s="652"/>
      <c r="M95" s="652"/>
      <c r="U95" s="649"/>
      <c r="V95" s="649"/>
      <c r="W95" s="649"/>
    </row>
    <row r="96" spans="1:23">
      <c r="A96" s="647"/>
      <c r="B96" s="648"/>
      <c r="C96" s="649"/>
      <c r="D96" s="649"/>
      <c r="I96" s="652"/>
      <c r="K96" s="652"/>
      <c r="M96" s="652"/>
      <c r="U96" s="649"/>
      <c r="V96" s="649"/>
      <c r="W96" s="649"/>
    </row>
    <row r="97" spans="1:23">
      <c r="A97" s="647"/>
      <c r="B97" s="648"/>
      <c r="C97" s="649"/>
      <c r="D97" s="649"/>
      <c r="I97" s="652"/>
      <c r="K97" s="652"/>
      <c r="M97" s="652"/>
      <c r="U97" s="649"/>
      <c r="V97" s="649"/>
      <c r="W97" s="649"/>
    </row>
    <row r="98" spans="1:23">
      <c r="A98" s="647"/>
      <c r="B98" s="648"/>
      <c r="C98" s="649"/>
      <c r="D98" s="649"/>
      <c r="I98" s="652"/>
      <c r="K98" s="652"/>
      <c r="M98" s="652"/>
      <c r="U98" s="649"/>
      <c r="V98" s="649"/>
      <c r="W98" s="649"/>
    </row>
    <row r="99" spans="1:23">
      <c r="A99" s="647"/>
      <c r="B99" s="648"/>
      <c r="C99" s="649"/>
      <c r="D99" s="649"/>
      <c r="I99" s="652"/>
      <c r="K99" s="652"/>
      <c r="M99" s="652"/>
      <c r="U99" s="649"/>
      <c r="V99" s="649"/>
      <c r="W99" s="649"/>
    </row>
    <row r="100" spans="1:23">
      <c r="A100" s="647"/>
      <c r="B100" s="648"/>
      <c r="C100" s="649"/>
      <c r="D100" s="649"/>
      <c r="I100" s="652"/>
      <c r="K100" s="652"/>
      <c r="M100" s="652"/>
      <c r="U100" s="649"/>
      <c r="V100" s="649"/>
      <c r="W100" s="649"/>
    </row>
    <row r="101" spans="1:23">
      <c r="A101" s="647"/>
      <c r="B101" s="648"/>
      <c r="C101" s="649"/>
      <c r="D101" s="649"/>
      <c r="I101" s="652"/>
      <c r="K101" s="652"/>
      <c r="M101" s="652"/>
      <c r="U101" s="649"/>
      <c r="V101" s="649"/>
      <c r="W101" s="649"/>
    </row>
    <row r="102" spans="1:23">
      <c r="A102" s="647"/>
      <c r="B102" s="648"/>
      <c r="C102" s="649"/>
      <c r="D102" s="649"/>
      <c r="I102" s="652"/>
      <c r="K102" s="652"/>
      <c r="M102" s="652"/>
      <c r="U102" s="649"/>
      <c r="V102" s="649"/>
      <c r="W102" s="649"/>
    </row>
    <row r="103" spans="1:23">
      <c r="A103" s="647"/>
      <c r="B103" s="648"/>
      <c r="C103" s="649"/>
      <c r="D103" s="649"/>
      <c r="I103" s="652"/>
      <c r="K103" s="652"/>
      <c r="M103" s="652"/>
      <c r="U103" s="649"/>
      <c r="V103" s="649"/>
      <c r="W103" s="649"/>
    </row>
    <row r="104" spans="1:23">
      <c r="A104" s="647"/>
      <c r="B104" s="648"/>
      <c r="C104" s="649"/>
      <c r="D104" s="649"/>
      <c r="I104" s="652"/>
      <c r="K104" s="652"/>
      <c r="M104" s="652"/>
      <c r="U104" s="649"/>
      <c r="V104" s="649"/>
      <c r="W104" s="649"/>
    </row>
    <row r="105" spans="1:23">
      <c r="A105" s="647"/>
      <c r="B105" s="648"/>
      <c r="C105" s="649"/>
      <c r="D105" s="649"/>
      <c r="I105" s="652"/>
      <c r="K105" s="652"/>
      <c r="M105" s="652"/>
      <c r="U105" s="649"/>
      <c r="V105" s="649"/>
      <c r="W105" s="649"/>
    </row>
    <row r="106" spans="1:23">
      <c r="A106" s="647"/>
      <c r="B106" s="648"/>
      <c r="C106" s="649"/>
      <c r="D106" s="649"/>
      <c r="I106" s="652"/>
      <c r="K106" s="652"/>
      <c r="M106" s="652"/>
      <c r="U106" s="649"/>
      <c r="V106" s="649"/>
      <c r="W106" s="649"/>
    </row>
    <row r="107" spans="1:23">
      <c r="A107" s="647"/>
      <c r="B107" s="648"/>
      <c r="C107" s="649"/>
      <c r="D107" s="649"/>
      <c r="I107" s="652"/>
      <c r="K107" s="652"/>
      <c r="M107" s="652"/>
      <c r="U107" s="649"/>
      <c r="V107" s="649"/>
      <c r="W107" s="649"/>
    </row>
    <row r="108" spans="1:23">
      <c r="A108" s="647"/>
      <c r="B108" s="648"/>
      <c r="C108" s="649"/>
      <c r="D108" s="649"/>
      <c r="I108" s="652"/>
      <c r="K108" s="652"/>
      <c r="M108" s="652"/>
      <c r="U108" s="649"/>
      <c r="V108" s="649"/>
      <c r="W108" s="649"/>
    </row>
    <row r="109" spans="1:23">
      <c r="A109" s="647"/>
      <c r="B109" s="648"/>
      <c r="C109" s="649"/>
      <c r="D109" s="649"/>
      <c r="I109" s="652"/>
      <c r="K109" s="652"/>
      <c r="M109" s="652"/>
      <c r="U109" s="649"/>
      <c r="V109" s="649"/>
      <c r="W109" s="649"/>
    </row>
    <row r="110" spans="1:23">
      <c r="A110" s="647"/>
      <c r="B110" s="648"/>
      <c r="C110" s="649"/>
      <c r="D110" s="649"/>
      <c r="I110" s="652"/>
      <c r="K110" s="652"/>
      <c r="M110" s="652"/>
      <c r="U110" s="649"/>
      <c r="V110" s="649"/>
      <c r="W110" s="649"/>
    </row>
    <row r="111" spans="1:23">
      <c r="A111" s="647"/>
      <c r="B111" s="648"/>
      <c r="C111" s="649"/>
      <c r="D111" s="649"/>
      <c r="I111" s="652"/>
      <c r="K111" s="652"/>
      <c r="M111" s="652"/>
      <c r="U111" s="649"/>
      <c r="V111" s="649"/>
      <c r="W111" s="649"/>
    </row>
    <row r="112" spans="1:23">
      <c r="A112" s="647"/>
      <c r="B112" s="648"/>
      <c r="C112" s="649"/>
      <c r="D112" s="649"/>
      <c r="I112" s="652"/>
      <c r="K112" s="652"/>
      <c r="M112" s="652"/>
      <c r="U112" s="649"/>
      <c r="V112" s="649"/>
      <c r="W112" s="649"/>
    </row>
    <row r="113" spans="1:23">
      <c r="A113" s="647"/>
      <c r="B113" s="648"/>
      <c r="C113" s="649"/>
      <c r="D113" s="649"/>
      <c r="I113" s="652"/>
      <c r="K113" s="652"/>
      <c r="M113" s="652"/>
      <c r="U113" s="649"/>
      <c r="V113" s="649"/>
      <c r="W113" s="649"/>
    </row>
    <row r="114" spans="1:23">
      <c r="A114" s="647"/>
      <c r="B114" s="648"/>
      <c r="C114" s="649"/>
      <c r="D114" s="649"/>
      <c r="I114" s="652"/>
      <c r="K114" s="652"/>
      <c r="M114" s="652"/>
      <c r="U114" s="649"/>
      <c r="V114" s="649"/>
      <c r="W114" s="649"/>
    </row>
    <row r="115" spans="1:23">
      <c r="A115" s="647"/>
      <c r="B115" s="648"/>
      <c r="C115" s="649"/>
      <c r="D115" s="649"/>
      <c r="I115" s="652"/>
      <c r="K115" s="652"/>
      <c r="M115" s="652"/>
      <c r="U115" s="649"/>
      <c r="V115" s="649"/>
      <c r="W115" s="649"/>
    </row>
    <row r="116" spans="1:23">
      <c r="A116" s="647"/>
      <c r="B116" s="648"/>
      <c r="C116" s="649"/>
      <c r="D116" s="649"/>
      <c r="I116" s="652"/>
      <c r="K116" s="652"/>
      <c r="M116" s="652"/>
      <c r="U116" s="649"/>
      <c r="V116" s="649"/>
      <c r="W116" s="649"/>
    </row>
    <row r="117" spans="1:23">
      <c r="A117" s="647"/>
      <c r="B117" s="648"/>
      <c r="C117" s="649"/>
      <c r="D117" s="649"/>
      <c r="I117" s="652"/>
      <c r="K117" s="652"/>
      <c r="M117" s="652"/>
      <c r="U117" s="649"/>
      <c r="V117" s="649"/>
      <c r="W117" s="649"/>
    </row>
    <row r="118" spans="1:23">
      <c r="A118" s="647"/>
      <c r="B118" s="648"/>
      <c r="C118" s="649"/>
      <c r="D118" s="649"/>
      <c r="I118" s="652"/>
      <c r="K118" s="652"/>
      <c r="M118" s="652"/>
      <c r="U118" s="649"/>
      <c r="V118" s="649"/>
      <c r="W118" s="649"/>
    </row>
    <row r="119" spans="1:23">
      <c r="A119" s="647"/>
      <c r="B119" s="648"/>
      <c r="C119" s="649"/>
      <c r="D119" s="649"/>
      <c r="I119" s="652"/>
      <c r="K119" s="652"/>
      <c r="M119" s="652"/>
      <c r="U119" s="649"/>
      <c r="V119" s="649"/>
      <c r="W119" s="649"/>
    </row>
    <row r="120" spans="1:23">
      <c r="A120" s="647"/>
      <c r="B120" s="648"/>
      <c r="C120" s="649"/>
      <c r="D120" s="649"/>
      <c r="I120" s="652"/>
      <c r="K120" s="652"/>
      <c r="M120" s="652"/>
      <c r="U120" s="649"/>
      <c r="V120" s="649"/>
      <c r="W120" s="649"/>
    </row>
    <row r="121" spans="1:23">
      <c r="A121" s="647"/>
      <c r="B121" s="648"/>
      <c r="C121" s="649"/>
      <c r="D121" s="649"/>
      <c r="I121" s="652"/>
      <c r="K121" s="652"/>
      <c r="M121" s="652"/>
      <c r="U121" s="649"/>
      <c r="V121" s="649"/>
      <c r="W121" s="649"/>
    </row>
    <row r="122" spans="1:23">
      <c r="A122" s="647"/>
      <c r="B122" s="648"/>
      <c r="C122" s="649"/>
      <c r="D122" s="649"/>
      <c r="I122" s="652"/>
      <c r="K122" s="652"/>
      <c r="M122" s="652"/>
      <c r="U122" s="649"/>
      <c r="V122" s="649"/>
      <c r="W122" s="649"/>
    </row>
    <row r="123" spans="1:23">
      <c r="A123" s="647"/>
      <c r="B123" s="648"/>
      <c r="C123" s="649"/>
      <c r="D123" s="649"/>
      <c r="I123" s="652"/>
      <c r="K123" s="652"/>
      <c r="M123" s="652"/>
      <c r="U123" s="649"/>
      <c r="V123" s="649"/>
      <c r="W123" s="649"/>
    </row>
    <row r="124" spans="1:23">
      <c r="A124" s="647"/>
      <c r="B124" s="648"/>
      <c r="C124" s="649"/>
      <c r="D124" s="649"/>
      <c r="I124" s="652"/>
      <c r="K124" s="652"/>
      <c r="M124" s="652"/>
      <c r="U124" s="649"/>
      <c r="V124" s="649"/>
      <c r="W124" s="649"/>
    </row>
    <row r="125" spans="1:23">
      <c r="A125" s="647"/>
      <c r="B125" s="648"/>
      <c r="C125" s="649"/>
      <c r="D125" s="649"/>
      <c r="I125" s="652"/>
      <c r="K125" s="652"/>
      <c r="M125" s="652"/>
      <c r="U125" s="649"/>
      <c r="V125" s="649"/>
      <c r="W125" s="649"/>
    </row>
    <row r="126" spans="1:23">
      <c r="A126" s="647"/>
      <c r="B126" s="648"/>
      <c r="C126" s="649"/>
      <c r="D126" s="649"/>
      <c r="I126" s="652"/>
      <c r="K126" s="652"/>
      <c r="M126" s="652"/>
      <c r="U126" s="649"/>
      <c r="V126" s="649"/>
      <c r="W126" s="649"/>
    </row>
    <row r="127" spans="1:23">
      <c r="A127" s="647"/>
      <c r="B127" s="648"/>
      <c r="C127" s="649"/>
      <c r="D127" s="649"/>
      <c r="I127" s="652"/>
      <c r="K127" s="652"/>
      <c r="M127" s="652"/>
      <c r="U127" s="649"/>
      <c r="V127" s="649"/>
      <c r="W127" s="649"/>
    </row>
    <row r="128" spans="1:23">
      <c r="A128" s="647"/>
      <c r="B128" s="648"/>
      <c r="C128" s="649"/>
      <c r="D128" s="649"/>
      <c r="I128" s="652"/>
      <c r="K128" s="652"/>
      <c r="M128" s="652"/>
      <c r="U128" s="649"/>
      <c r="V128" s="649"/>
      <c r="W128" s="649"/>
    </row>
    <row r="129" spans="1:23">
      <c r="A129" s="647"/>
      <c r="B129" s="648"/>
      <c r="C129" s="649"/>
      <c r="D129" s="649"/>
      <c r="I129" s="652"/>
      <c r="K129" s="652"/>
      <c r="M129" s="652"/>
      <c r="U129" s="649"/>
      <c r="V129" s="649"/>
      <c r="W129" s="649"/>
    </row>
    <row r="130" spans="1:23">
      <c r="A130" s="647"/>
      <c r="B130" s="648"/>
      <c r="C130" s="649"/>
      <c r="D130" s="649"/>
      <c r="I130" s="652"/>
      <c r="K130" s="652"/>
      <c r="M130" s="652"/>
      <c r="U130" s="649"/>
      <c r="V130" s="649"/>
      <c r="W130" s="649"/>
    </row>
    <row r="131" spans="1:23">
      <c r="A131" s="647"/>
      <c r="B131" s="648"/>
      <c r="C131" s="649"/>
      <c r="D131" s="649"/>
      <c r="I131" s="652"/>
      <c r="K131" s="652"/>
      <c r="M131" s="652"/>
      <c r="U131" s="649"/>
      <c r="V131" s="649"/>
      <c r="W131" s="649"/>
    </row>
    <row r="132" spans="1:23">
      <c r="A132" s="647"/>
      <c r="B132" s="648"/>
      <c r="C132" s="649"/>
      <c r="D132" s="649"/>
      <c r="I132" s="652"/>
      <c r="K132" s="652"/>
      <c r="M132" s="652"/>
      <c r="U132" s="649"/>
      <c r="V132" s="649"/>
      <c r="W132" s="649"/>
    </row>
    <row r="133" spans="1:23">
      <c r="A133" s="647"/>
      <c r="B133" s="648"/>
      <c r="C133" s="649"/>
      <c r="D133" s="649"/>
      <c r="I133" s="652"/>
      <c r="K133" s="652"/>
      <c r="M133" s="652"/>
      <c r="U133" s="649"/>
      <c r="V133" s="649"/>
      <c r="W133" s="649"/>
    </row>
    <row r="134" spans="1:23">
      <c r="A134" s="647"/>
      <c r="B134" s="648"/>
      <c r="C134" s="649"/>
      <c r="D134" s="649"/>
      <c r="I134" s="652"/>
      <c r="K134" s="652"/>
      <c r="M134" s="652"/>
      <c r="U134" s="649"/>
      <c r="V134" s="649"/>
      <c r="W134" s="649"/>
    </row>
    <row r="135" spans="1:23">
      <c r="A135" s="647"/>
      <c r="B135" s="648"/>
      <c r="C135" s="649"/>
      <c r="D135" s="649"/>
      <c r="I135" s="652"/>
      <c r="K135" s="652"/>
      <c r="M135" s="652"/>
      <c r="U135" s="649"/>
      <c r="V135" s="649"/>
      <c r="W135" s="649"/>
    </row>
    <row r="136" spans="1:23">
      <c r="A136" s="647"/>
      <c r="B136" s="648"/>
      <c r="C136" s="649"/>
      <c r="D136" s="649"/>
      <c r="I136" s="652"/>
      <c r="K136" s="652"/>
      <c r="M136" s="652"/>
      <c r="U136" s="649"/>
      <c r="V136" s="649"/>
      <c r="W136" s="649"/>
    </row>
    <row r="137" spans="1:23">
      <c r="A137" s="647"/>
      <c r="B137" s="648"/>
      <c r="C137" s="649"/>
      <c r="D137" s="649"/>
      <c r="I137" s="652"/>
      <c r="K137" s="652"/>
      <c r="M137" s="652"/>
      <c r="U137" s="649"/>
      <c r="V137" s="649"/>
      <c r="W137" s="649"/>
    </row>
    <row r="138" spans="1:23">
      <c r="A138" s="647"/>
      <c r="B138" s="648"/>
      <c r="C138" s="649"/>
      <c r="D138" s="649"/>
      <c r="I138" s="652"/>
      <c r="K138" s="652"/>
      <c r="M138" s="652"/>
      <c r="U138" s="649"/>
      <c r="V138" s="649"/>
      <c r="W138" s="649"/>
    </row>
    <row r="139" spans="1:23">
      <c r="A139" s="647"/>
      <c r="B139" s="648"/>
      <c r="C139" s="649"/>
      <c r="D139" s="649"/>
      <c r="I139" s="652"/>
      <c r="K139" s="652"/>
      <c r="M139" s="652"/>
      <c r="U139" s="649"/>
      <c r="V139" s="649"/>
      <c r="W139" s="649"/>
    </row>
    <row r="140" spans="1:23">
      <c r="A140" s="647"/>
      <c r="B140" s="648"/>
      <c r="C140" s="649"/>
      <c r="D140" s="649"/>
      <c r="I140" s="652"/>
      <c r="K140" s="652"/>
      <c r="M140" s="652"/>
      <c r="U140" s="649"/>
      <c r="V140" s="649"/>
      <c r="W140" s="649"/>
    </row>
    <row r="141" spans="1:23">
      <c r="A141" s="647"/>
      <c r="B141" s="648"/>
      <c r="C141" s="649"/>
      <c r="D141" s="649"/>
      <c r="I141" s="652"/>
      <c r="K141" s="652"/>
      <c r="M141" s="652"/>
      <c r="U141" s="649"/>
      <c r="V141" s="649"/>
      <c r="W141" s="649"/>
    </row>
    <row r="142" spans="1:23">
      <c r="A142" s="647"/>
      <c r="B142" s="648"/>
      <c r="C142" s="649"/>
      <c r="D142" s="649"/>
      <c r="I142" s="652"/>
      <c r="K142" s="652"/>
      <c r="M142" s="652"/>
      <c r="U142" s="649"/>
      <c r="V142" s="649"/>
      <c r="W142" s="649"/>
    </row>
    <row r="143" spans="1:23">
      <c r="A143" s="647"/>
      <c r="B143" s="648"/>
      <c r="C143" s="649"/>
      <c r="D143" s="649"/>
      <c r="I143" s="652"/>
      <c r="K143" s="652"/>
      <c r="M143" s="652"/>
      <c r="U143" s="649"/>
      <c r="V143" s="649"/>
      <c r="W143" s="649"/>
    </row>
    <row r="144" spans="1:23">
      <c r="A144" s="647"/>
      <c r="B144" s="648"/>
      <c r="C144" s="649"/>
      <c r="D144" s="649"/>
      <c r="I144" s="652"/>
      <c r="K144" s="652"/>
      <c r="M144" s="652"/>
      <c r="U144" s="649"/>
      <c r="V144" s="649"/>
      <c r="W144" s="649"/>
    </row>
    <row r="145" spans="1:23">
      <c r="A145" s="647"/>
      <c r="B145" s="648"/>
      <c r="C145" s="649"/>
      <c r="D145" s="649"/>
      <c r="I145" s="652"/>
      <c r="K145" s="652"/>
      <c r="M145" s="652"/>
      <c r="U145" s="649"/>
      <c r="V145" s="649"/>
      <c r="W145" s="649"/>
    </row>
    <row r="146" spans="1:23">
      <c r="A146" s="647"/>
      <c r="B146" s="648"/>
      <c r="C146" s="649"/>
      <c r="D146" s="649"/>
      <c r="I146" s="652"/>
      <c r="K146" s="652"/>
      <c r="M146" s="652"/>
      <c r="U146" s="649"/>
      <c r="V146" s="649"/>
      <c r="W146" s="649"/>
    </row>
    <row r="147" spans="1:23">
      <c r="A147" s="647"/>
      <c r="B147" s="648"/>
      <c r="C147" s="649"/>
      <c r="D147" s="649"/>
      <c r="I147" s="652"/>
      <c r="K147" s="652"/>
      <c r="M147" s="652"/>
      <c r="U147" s="649"/>
      <c r="V147" s="649"/>
      <c r="W147" s="649"/>
    </row>
    <row r="148" spans="1:23">
      <c r="A148" s="647"/>
      <c r="B148" s="648"/>
      <c r="C148" s="649"/>
      <c r="D148" s="649"/>
      <c r="I148" s="652"/>
      <c r="K148" s="652"/>
      <c r="M148" s="652"/>
      <c r="U148" s="649"/>
      <c r="V148" s="649"/>
      <c r="W148" s="649"/>
    </row>
    <row r="149" spans="1:23">
      <c r="A149" s="647"/>
      <c r="B149" s="648"/>
      <c r="C149" s="649"/>
      <c r="D149" s="649"/>
      <c r="I149" s="652"/>
      <c r="K149" s="652"/>
      <c r="M149" s="652"/>
      <c r="U149" s="649"/>
      <c r="V149" s="649"/>
      <c r="W149" s="649"/>
    </row>
    <row r="150" spans="1:23">
      <c r="A150" s="647"/>
      <c r="B150" s="648"/>
      <c r="C150" s="649"/>
      <c r="D150" s="649"/>
      <c r="I150" s="652"/>
      <c r="K150" s="652"/>
      <c r="M150" s="652"/>
      <c r="U150" s="649"/>
      <c r="V150" s="649"/>
      <c r="W150" s="649"/>
    </row>
    <row r="151" spans="1:23">
      <c r="A151" s="647"/>
      <c r="B151" s="648"/>
      <c r="C151" s="649"/>
      <c r="D151" s="649"/>
      <c r="I151" s="652"/>
      <c r="K151" s="652"/>
      <c r="M151" s="652"/>
      <c r="U151" s="649"/>
      <c r="V151" s="649"/>
      <c r="W151" s="649"/>
    </row>
    <row r="152" spans="1:23">
      <c r="A152" s="647"/>
      <c r="B152" s="648"/>
      <c r="C152" s="649"/>
      <c r="D152" s="649"/>
      <c r="I152" s="652"/>
      <c r="K152" s="652"/>
      <c r="M152" s="652"/>
      <c r="U152" s="649"/>
      <c r="V152" s="649"/>
      <c r="W152" s="649"/>
    </row>
    <row r="153" spans="1:23">
      <c r="A153" s="647"/>
      <c r="B153" s="648"/>
      <c r="C153" s="649"/>
      <c r="D153" s="649"/>
      <c r="I153" s="652"/>
      <c r="K153" s="652"/>
      <c r="M153" s="652"/>
      <c r="U153" s="649"/>
      <c r="V153" s="649"/>
      <c r="W153" s="649"/>
    </row>
    <row r="154" spans="1:23">
      <c r="A154" s="647"/>
      <c r="B154" s="648"/>
      <c r="C154" s="649"/>
      <c r="D154" s="649"/>
      <c r="I154" s="652"/>
      <c r="K154" s="652"/>
      <c r="M154" s="652"/>
      <c r="U154" s="649"/>
      <c r="V154" s="649"/>
      <c r="W154" s="649"/>
    </row>
    <row r="155" spans="1:23">
      <c r="A155" s="647"/>
      <c r="B155" s="648"/>
      <c r="C155" s="649"/>
      <c r="D155" s="649"/>
      <c r="I155" s="652"/>
      <c r="K155" s="652"/>
      <c r="M155" s="652"/>
      <c r="U155" s="649"/>
      <c r="V155" s="649"/>
      <c r="W155" s="649"/>
    </row>
    <row r="156" spans="1:23">
      <c r="A156" s="647"/>
      <c r="B156" s="648"/>
      <c r="C156" s="649"/>
      <c r="D156" s="649"/>
      <c r="I156" s="652"/>
      <c r="K156" s="652"/>
      <c r="M156" s="652"/>
      <c r="U156" s="649"/>
      <c r="V156" s="649"/>
      <c r="W156" s="649"/>
    </row>
    <row r="157" spans="1:23">
      <c r="A157" s="647"/>
      <c r="B157" s="648"/>
      <c r="C157" s="649"/>
      <c r="D157" s="649"/>
      <c r="I157" s="652"/>
      <c r="K157" s="652"/>
      <c r="M157" s="652"/>
      <c r="U157" s="649"/>
      <c r="V157" s="649"/>
      <c r="W157" s="649"/>
    </row>
    <row r="158" spans="1:23">
      <c r="A158" s="647"/>
      <c r="B158" s="648"/>
      <c r="C158" s="649"/>
      <c r="D158" s="649"/>
      <c r="I158" s="652"/>
      <c r="K158" s="652"/>
      <c r="M158" s="652"/>
      <c r="U158" s="649"/>
      <c r="V158" s="649"/>
      <c r="W158" s="649"/>
    </row>
    <row r="159" spans="1:23">
      <c r="A159" s="647"/>
      <c r="B159" s="648"/>
      <c r="C159" s="649"/>
      <c r="D159" s="649"/>
      <c r="I159" s="652"/>
      <c r="K159" s="652"/>
      <c r="M159" s="652"/>
      <c r="U159" s="649"/>
      <c r="V159" s="649"/>
      <c r="W159" s="649"/>
    </row>
    <row r="160" spans="1:23">
      <c r="A160" s="647"/>
      <c r="B160" s="648"/>
      <c r="C160" s="649"/>
      <c r="D160" s="649"/>
      <c r="I160" s="652"/>
      <c r="K160" s="652"/>
      <c r="M160" s="652"/>
      <c r="U160" s="649"/>
      <c r="V160" s="649"/>
      <c r="W160" s="649"/>
    </row>
    <row r="161" spans="1:23">
      <c r="A161" s="647"/>
      <c r="B161" s="648"/>
      <c r="C161" s="649"/>
      <c r="D161" s="649"/>
      <c r="I161" s="652"/>
      <c r="K161" s="652"/>
      <c r="M161" s="652"/>
      <c r="U161" s="649"/>
      <c r="V161" s="649"/>
      <c r="W161" s="649"/>
    </row>
    <row r="162" spans="1:23">
      <c r="A162" s="647"/>
      <c r="B162" s="648"/>
      <c r="C162" s="649"/>
      <c r="D162" s="649"/>
      <c r="I162" s="652"/>
      <c r="K162" s="652"/>
      <c r="M162" s="652"/>
      <c r="U162" s="649"/>
      <c r="V162" s="649"/>
      <c r="W162" s="649"/>
    </row>
    <row r="163" spans="1:23">
      <c r="A163" s="647"/>
      <c r="B163" s="648"/>
      <c r="C163" s="649"/>
      <c r="D163" s="649"/>
      <c r="I163" s="652"/>
      <c r="K163" s="652"/>
      <c r="M163" s="652"/>
      <c r="U163" s="649"/>
      <c r="V163" s="649"/>
      <c r="W163" s="649"/>
    </row>
    <row r="164" spans="1:23">
      <c r="A164" s="647"/>
      <c r="B164" s="648"/>
      <c r="C164" s="649"/>
      <c r="D164" s="649"/>
      <c r="I164" s="652"/>
      <c r="K164" s="652"/>
      <c r="M164" s="652"/>
      <c r="U164" s="649"/>
      <c r="V164" s="649"/>
      <c r="W164" s="649"/>
    </row>
    <row r="165" spans="1:23">
      <c r="A165" s="647"/>
      <c r="B165" s="648"/>
      <c r="C165" s="649"/>
      <c r="D165" s="649"/>
      <c r="I165" s="652"/>
      <c r="K165" s="652"/>
      <c r="M165" s="652"/>
      <c r="U165" s="649"/>
      <c r="V165" s="649"/>
      <c r="W165" s="649"/>
    </row>
    <row r="166" spans="1:23">
      <c r="A166" s="647"/>
      <c r="B166" s="648"/>
      <c r="C166" s="649"/>
      <c r="D166" s="649"/>
      <c r="I166" s="652"/>
      <c r="K166" s="652"/>
      <c r="M166" s="652"/>
      <c r="U166" s="649"/>
      <c r="V166" s="649"/>
      <c r="W166" s="649"/>
    </row>
    <row r="167" spans="1:23">
      <c r="A167" s="647"/>
      <c r="B167" s="648"/>
      <c r="C167" s="649"/>
      <c r="D167" s="649"/>
      <c r="I167" s="652"/>
      <c r="K167" s="652"/>
      <c r="M167" s="652"/>
      <c r="U167" s="649"/>
      <c r="V167" s="649"/>
      <c r="W167" s="649"/>
    </row>
    <row r="168" spans="1:23">
      <c r="A168" s="647"/>
      <c r="B168" s="648"/>
      <c r="C168" s="649"/>
      <c r="D168" s="649"/>
      <c r="I168" s="652"/>
      <c r="K168" s="652"/>
      <c r="M168" s="652"/>
      <c r="U168" s="649"/>
      <c r="V168" s="649"/>
      <c r="W168" s="649"/>
    </row>
    <row r="169" spans="1:23">
      <c r="A169" s="647"/>
      <c r="B169" s="648"/>
      <c r="C169" s="649"/>
      <c r="D169" s="649"/>
      <c r="I169" s="652"/>
      <c r="K169" s="652"/>
      <c r="M169" s="652"/>
      <c r="U169" s="649"/>
      <c r="V169" s="649"/>
      <c r="W169" s="649"/>
    </row>
    <row r="170" spans="1:23">
      <c r="A170" s="647"/>
      <c r="B170" s="648"/>
      <c r="C170" s="649"/>
      <c r="D170" s="649"/>
      <c r="I170" s="652"/>
      <c r="K170" s="652"/>
      <c r="M170" s="652"/>
      <c r="U170" s="649"/>
      <c r="V170" s="649"/>
      <c r="W170" s="649"/>
    </row>
    <row r="171" spans="1:23">
      <c r="A171" s="647"/>
      <c r="B171" s="648"/>
      <c r="C171" s="649"/>
      <c r="D171" s="649"/>
      <c r="I171" s="652"/>
      <c r="K171" s="652"/>
      <c r="M171" s="652"/>
      <c r="U171" s="649"/>
      <c r="V171" s="649"/>
      <c r="W171" s="649"/>
    </row>
    <row r="172" spans="1:23">
      <c r="A172" s="647"/>
      <c r="B172" s="648"/>
      <c r="C172" s="649"/>
      <c r="D172" s="649"/>
      <c r="I172" s="652"/>
      <c r="K172" s="652"/>
      <c r="M172" s="652"/>
      <c r="U172" s="649"/>
      <c r="V172" s="649"/>
      <c r="W172" s="649"/>
    </row>
    <row r="173" spans="1:23">
      <c r="A173" s="647"/>
      <c r="B173" s="648"/>
      <c r="C173" s="649"/>
      <c r="D173" s="649"/>
      <c r="I173" s="652"/>
      <c r="K173" s="652"/>
      <c r="M173" s="652"/>
      <c r="U173" s="649"/>
      <c r="V173" s="649"/>
      <c r="W173" s="649"/>
    </row>
    <row r="174" spans="1:23">
      <c r="A174" s="647"/>
      <c r="B174" s="648"/>
      <c r="C174" s="649"/>
      <c r="D174" s="649"/>
      <c r="I174" s="652"/>
      <c r="K174" s="652"/>
      <c r="M174" s="652"/>
      <c r="U174" s="649"/>
      <c r="V174" s="649"/>
      <c r="W174" s="649"/>
    </row>
    <row r="175" spans="1:23">
      <c r="A175" s="647"/>
      <c r="B175" s="648"/>
      <c r="C175" s="649"/>
      <c r="D175" s="649"/>
      <c r="I175" s="652"/>
      <c r="K175" s="652"/>
      <c r="M175" s="652"/>
      <c r="U175" s="649"/>
      <c r="V175" s="649"/>
      <c r="W175" s="649"/>
    </row>
    <row r="176" spans="1:23">
      <c r="A176" s="647"/>
      <c r="B176" s="648"/>
      <c r="C176" s="649"/>
      <c r="D176" s="649"/>
      <c r="I176" s="652"/>
      <c r="K176" s="652"/>
      <c r="M176" s="652"/>
      <c r="U176" s="649"/>
      <c r="V176" s="649"/>
      <c r="W176" s="649"/>
    </row>
    <row r="177" spans="1:23">
      <c r="A177" s="647"/>
      <c r="B177" s="648"/>
      <c r="C177" s="649"/>
      <c r="D177" s="649"/>
      <c r="I177" s="652"/>
      <c r="K177" s="652"/>
      <c r="M177" s="652"/>
      <c r="U177" s="649"/>
      <c r="V177" s="649"/>
      <c r="W177" s="649"/>
    </row>
    <row r="178" spans="1:23">
      <c r="A178" s="647"/>
      <c r="B178" s="648"/>
      <c r="C178" s="649"/>
      <c r="D178" s="649"/>
      <c r="I178" s="652"/>
      <c r="K178" s="652"/>
      <c r="M178" s="652"/>
      <c r="U178" s="649"/>
      <c r="V178" s="649"/>
      <c r="W178" s="649"/>
    </row>
    <row r="179" spans="1:23">
      <c r="A179" s="647"/>
      <c r="B179" s="648"/>
      <c r="C179" s="649"/>
      <c r="D179" s="649"/>
      <c r="I179" s="652"/>
      <c r="K179" s="652"/>
      <c r="M179" s="652"/>
      <c r="U179" s="649"/>
      <c r="V179" s="649"/>
      <c r="W179" s="649"/>
    </row>
    <row r="180" spans="1:23">
      <c r="A180" s="647"/>
      <c r="B180" s="648"/>
      <c r="C180" s="649"/>
      <c r="D180" s="649"/>
      <c r="I180" s="652"/>
      <c r="K180" s="652"/>
      <c r="M180" s="652"/>
      <c r="U180" s="649"/>
      <c r="V180" s="649"/>
      <c r="W180" s="649"/>
    </row>
    <row r="181" spans="1:23">
      <c r="A181" s="647"/>
      <c r="B181" s="648"/>
      <c r="C181" s="649"/>
      <c r="D181" s="649"/>
      <c r="I181" s="652"/>
      <c r="K181" s="652"/>
      <c r="M181" s="652"/>
      <c r="U181" s="649"/>
      <c r="V181" s="649"/>
      <c r="W181" s="649"/>
    </row>
    <row r="182" spans="1:23">
      <c r="A182" s="647"/>
      <c r="B182" s="648"/>
      <c r="C182" s="649"/>
      <c r="D182" s="649"/>
      <c r="I182" s="652"/>
      <c r="K182" s="652"/>
      <c r="M182" s="652"/>
      <c r="U182" s="649"/>
      <c r="V182" s="649"/>
      <c r="W182" s="649"/>
    </row>
    <row r="183" spans="1:23">
      <c r="A183" s="647"/>
      <c r="B183" s="648"/>
      <c r="C183" s="649"/>
      <c r="D183" s="649"/>
      <c r="I183" s="652"/>
      <c r="K183" s="652"/>
      <c r="M183" s="652"/>
      <c r="U183" s="649"/>
      <c r="V183" s="649"/>
      <c r="W183" s="649"/>
    </row>
    <row r="184" spans="1:23">
      <c r="A184" s="647"/>
      <c r="B184" s="648"/>
      <c r="C184" s="649"/>
      <c r="D184" s="649"/>
      <c r="I184" s="652"/>
      <c r="K184" s="652"/>
      <c r="M184" s="652"/>
      <c r="U184" s="649"/>
      <c r="V184" s="649"/>
      <c r="W184" s="649"/>
    </row>
    <row r="185" spans="1:23">
      <c r="A185" s="647"/>
      <c r="B185" s="648"/>
      <c r="C185" s="649"/>
      <c r="D185" s="649"/>
      <c r="I185" s="652"/>
      <c r="K185" s="652"/>
      <c r="M185" s="652"/>
      <c r="U185" s="649"/>
      <c r="V185" s="649"/>
      <c r="W185" s="649"/>
    </row>
    <row r="186" spans="1:23">
      <c r="A186" s="647"/>
      <c r="B186" s="648"/>
      <c r="C186" s="649"/>
      <c r="D186" s="649"/>
      <c r="I186" s="652"/>
      <c r="K186" s="652"/>
      <c r="M186" s="652"/>
      <c r="U186" s="649"/>
      <c r="V186" s="649"/>
      <c r="W186" s="649"/>
    </row>
    <row r="187" spans="1:23">
      <c r="A187" s="647"/>
      <c r="B187" s="648"/>
      <c r="C187" s="649"/>
      <c r="D187" s="649"/>
      <c r="I187" s="652"/>
      <c r="K187" s="652"/>
      <c r="M187" s="652"/>
      <c r="U187" s="649"/>
      <c r="V187" s="649"/>
      <c r="W187" s="649"/>
    </row>
    <row r="188" spans="1:23">
      <c r="A188" s="647"/>
      <c r="B188" s="648"/>
      <c r="C188" s="649"/>
      <c r="D188" s="649"/>
      <c r="I188" s="652"/>
      <c r="K188" s="652"/>
      <c r="M188" s="652"/>
      <c r="U188" s="649"/>
      <c r="V188" s="649"/>
      <c r="W188" s="649"/>
    </row>
    <row r="189" spans="1:23">
      <c r="A189" s="647"/>
      <c r="B189" s="648"/>
      <c r="C189" s="649"/>
      <c r="D189" s="649"/>
      <c r="I189" s="652"/>
      <c r="K189" s="652"/>
      <c r="M189" s="652"/>
      <c r="U189" s="649"/>
      <c r="V189" s="649"/>
      <c r="W189" s="649"/>
    </row>
    <row r="190" spans="1:23">
      <c r="A190" s="647"/>
      <c r="B190" s="648"/>
      <c r="C190" s="649"/>
      <c r="D190" s="649"/>
      <c r="I190" s="652"/>
      <c r="K190" s="652"/>
      <c r="M190" s="652"/>
      <c r="U190" s="649"/>
      <c r="V190" s="649"/>
      <c r="W190" s="649"/>
    </row>
    <row r="191" spans="1:23">
      <c r="A191" s="647"/>
      <c r="B191" s="648"/>
      <c r="C191" s="649"/>
      <c r="D191" s="649"/>
      <c r="I191" s="652"/>
      <c r="K191" s="652"/>
      <c r="M191" s="652"/>
      <c r="U191" s="649"/>
      <c r="V191" s="649"/>
      <c r="W191" s="649"/>
    </row>
    <row r="192" spans="1:23">
      <c r="A192" s="647"/>
      <c r="B192" s="648"/>
      <c r="C192" s="649"/>
      <c r="D192" s="649"/>
      <c r="I192" s="652"/>
      <c r="K192" s="652"/>
      <c r="M192" s="652"/>
      <c r="U192" s="649"/>
      <c r="V192" s="649"/>
      <c r="W192" s="649"/>
    </row>
    <row r="193" spans="1:23">
      <c r="A193" s="647"/>
      <c r="B193" s="648"/>
      <c r="C193" s="649"/>
      <c r="D193" s="649"/>
      <c r="I193" s="652"/>
      <c r="K193" s="652"/>
      <c r="M193" s="652"/>
      <c r="U193" s="649"/>
      <c r="V193" s="649"/>
      <c r="W193" s="649"/>
    </row>
    <row r="194" spans="1:23">
      <c r="A194" s="647"/>
      <c r="B194" s="648"/>
      <c r="C194" s="649"/>
      <c r="D194" s="649"/>
      <c r="I194" s="652"/>
      <c r="K194" s="652"/>
      <c r="M194" s="652"/>
      <c r="U194" s="649"/>
      <c r="V194" s="649"/>
      <c r="W194" s="649"/>
    </row>
    <row r="195" spans="1:23">
      <c r="A195" s="647"/>
      <c r="B195" s="648"/>
      <c r="C195" s="649"/>
      <c r="D195" s="649"/>
      <c r="I195" s="652"/>
      <c r="K195" s="652"/>
      <c r="M195" s="652"/>
      <c r="U195" s="649"/>
      <c r="V195" s="649"/>
      <c r="W195" s="649"/>
    </row>
    <row r="196" spans="1:23">
      <c r="A196" s="647"/>
      <c r="B196" s="648"/>
      <c r="C196" s="649"/>
      <c r="D196" s="649"/>
      <c r="I196" s="652"/>
      <c r="K196" s="652"/>
      <c r="M196" s="652"/>
      <c r="U196" s="649"/>
      <c r="V196" s="649"/>
      <c r="W196" s="649"/>
    </row>
    <row r="197" spans="1:23">
      <c r="A197" s="647"/>
      <c r="B197" s="648"/>
      <c r="C197" s="649"/>
      <c r="D197" s="649"/>
      <c r="I197" s="652"/>
      <c r="K197" s="652"/>
      <c r="M197" s="652"/>
      <c r="U197" s="649"/>
      <c r="V197" s="649"/>
      <c r="W197" s="649"/>
    </row>
    <row r="198" spans="1:23">
      <c r="A198" s="647"/>
      <c r="B198" s="648"/>
      <c r="C198" s="649"/>
      <c r="D198" s="649"/>
      <c r="I198" s="652"/>
      <c r="K198" s="652"/>
      <c r="M198" s="652"/>
      <c r="U198" s="649"/>
      <c r="V198" s="649"/>
      <c r="W198" s="649"/>
    </row>
    <row r="199" spans="1:23">
      <c r="A199" s="647"/>
      <c r="B199" s="648"/>
      <c r="C199" s="649"/>
      <c r="D199" s="649"/>
      <c r="I199" s="652"/>
      <c r="K199" s="652"/>
      <c r="M199" s="652"/>
      <c r="U199" s="649"/>
      <c r="V199" s="649"/>
      <c r="W199" s="649"/>
    </row>
    <row r="200" spans="1:23">
      <c r="A200" s="647"/>
      <c r="B200" s="648"/>
      <c r="C200" s="649"/>
      <c r="D200" s="649"/>
      <c r="I200" s="652"/>
      <c r="K200" s="652"/>
      <c r="M200" s="652"/>
      <c r="U200" s="649"/>
      <c r="V200" s="649"/>
      <c r="W200" s="649"/>
    </row>
    <row r="201" spans="1:23">
      <c r="A201" s="647"/>
      <c r="B201" s="648"/>
      <c r="C201" s="649"/>
      <c r="D201" s="649"/>
      <c r="I201" s="652"/>
      <c r="K201" s="652"/>
      <c r="M201" s="652"/>
      <c r="U201" s="649"/>
      <c r="V201" s="649"/>
      <c r="W201" s="649"/>
    </row>
    <row r="202" spans="1:23">
      <c r="A202" s="647"/>
      <c r="B202" s="648"/>
      <c r="C202" s="649"/>
      <c r="D202" s="649"/>
      <c r="I202" s="652"/>
      <c r="K202" s="652"/>
      <c r="M202" s="652"/>
      <c r="U202" s="649"/>
      <c r="V202" s="649"/>
      <c r="W202" s="649"/>
    </row>
    <row r="203" spans="1:23">
      <c r="A203" s="647"/>
      <c r="B203" s="648"/>
      <c r="C203" s="649"/>
      <c r="D203" s="649"/>
      <c r="I203" s="652"/>
      <c r="K203" s="652"/>
      <c r="M203" s="652"/>
      <c r="U203" s="649"/>
      <c r="V203" s="649"/>
      <c r="W203" s="649"/>
    </row>
    <row r="204" spans="1:23">
      <c r="A204" s="647"/>
      <c r="B204" s="648"/>
      <c r="C204" s="649"/>
      <c r="D204" s="649"/>
      <c r="I204" s="652"/>
      <c r="K204" s="652"/>
      <c r="M204" s="652"/>
      <c r="U204" s="649"/>
      <c r="V204" s="649"/>
      <c r="W204" s="649"/>
    </row>
    <row r="205" spans="1:23">
      <c r="A205" s="647"/>
      <c r="B205" s="648"/>
      <c r="C205" s="649"/>
      <c r="D205" s="649"/>
      <c r="I205" s="652"/>
      <c r="K205" s="652"/>
      <c r="M205" s="652"/>
      <c r="U205" s="649"/>
      <c r="V205" s="649"/>
      <c r="W205" s="649"/>
    </row>
    <row r="206" spans="1:23">
      <c r="A206" s="647"/>
      <c r="B206" s="648"/>
      <c r="C206" s="649"/>
      <c r="D206" s="649"/>
      <c r="I206" s="652"/>
      <c r="K206" s="652"/>
      <c r="M206" s="652"/>
      <c r="U206" s="649"/>
      <c r="V206" s="649"/>
      <c r="W206" s="649"/>
    </row>
    <row r="207" spans="1:23">
      <c r="A207" s="647"/>
      <c r="B207" s="648"/>
      <c r="C207" s="649"/>
      <c r="D207" s="649"/>
      <c r="I207" s="652"/>
      <c r="K207" s="652"/>
      <c r="M207" s="652"/>
      <c r="U207" s="649"/>
      <c r="V207" s="649"/>
      <c r="W207" s="649"/>
    </row>
    <row r="208" spans="1:23">
      <c r="A208" s="647"/>
      <c r="B208" s="648"/>
      <c r="C208" s="649"/>
      <c r="D208" s="649"/>
      <c r="I208" s="652"/>
      <c r="K208" s="652"/>
      <c r="M208" s="652"/>
      <c r="U208" s="649"/>
      <c r="V208" s="649"/>
      <c r="W208" s="649"/>
    </row>
    <row r="209" spans="1:23">
      <c r="A209" s="647"/>
      <c r="B209" s="648"/>
      <c r="C209" s="649"/>
      <c r="D209" s="649"/>
      <c r="I209" s="652"/>
      <c r="K209" s="652"/>
      <c r="M209" s="652"/>
      <c r="U209" s="649"/>
      <c r="V209" s="649"/>
      <c r="W209" s="649"/>
    </row>
    <row r="210" spans="1:23">
      <c r="A210" s="647"/>
      <c r="B210" s="648"/>
      <c r="C210" s="649"/>
      <c r="D210" s="649"/>
      <c r="I210" s="652"/>
      <c r="K210" s="652"/>
      <c r="M210" s="652"/>
      <c r="U210" s="649"/>
      <c r="V210" s="649"/>
      <c r="W210" s="649"/>
    </row>
    <row r="211" spans="1:23">
      <c r="A211" s="647"/>
      <c r="B211" s="648"/>
      <c r="C211" s="649"/>
      <c r="D211" s="649"/>
      <c r="I211" s="652"/>
      <c r="K211" s="652"/>
      <c r="M211" s="652"/>
      <c r="U211" s="649"/>
      <c r="V211" s="649"/>
      <c r="W211" s="649"/>
    </row>
    <row r="212" spans="1:23">
      <c r="A212" s="647"/>
      <c r="B212" s="648"/>
      <c r="C212" s="649"/>
      <c r="D212" s="649"/>
      <c r="I212" s="652"/>
      <c r="K212" s="652"/>
      <c r="M212" s="652"/>
      <c r="U212" s="649"/>
      <c r="V212" s="649"/>
      <c r="W212" s="649"/>
    </row>
    <row r="213" spans="1:23">
      <c r="A213" s="647"/>
      <c r="B213" s="648"/>
      <c r="C213" s="649"/>
      <c r="D213" s="649"/>
      <c r="I213" s="652"/>
      <c r="K213" s="652"/>
      <c r="M213" s="652"/>
      <c r="U213" s="649"/>
      <c r="V213" s="649"/>
      <c r="W213" s="649"/>
    </row>
    <row r="214" spans="1:23">
      <c r="A214" s="647"/>
      <c r="B214" s="648"/>
      <c r="C214" s="649"/>
      <c r="D214" s="649"/>
      <c r="I214" s="652"/>
      <c r="K214" s="652"/>
      <c r="M214" s="652"/>
      <c r="U214" s="649"/>
      <c r="V214" s="649"/>
      <c r="W214" s="649"/>
    </row>
    <row r="215" spans="1:23">
      <c r="A215" s="647"/>
      <c r="B215" s="648"/>
      <c r="C215" s="649"/>
      <c r="D215" s="649"/>
      <c r="I215" s="652"/>
      <c r="K215" s="652"/>
      <c r="M215" s="652"/>
      <c r="U215" s="649"/>
      <c r="V215" s="649"/>
      <c r="W215" s="649"/>
    </row>
    <row r="216" spans="1:23">
      <c r="A216" s="647"/>
      <c r="B216" s="648"/>
      <c r="C216" s="649"/>
      <c r="D216" s="649"/>
      <c r="I216" s="652"/>
      <c r="K216" s="652"/>
      <c r="M216" s="652"/>
      <c r="U216" s="649"/>
      <c r="V216" s="649"/>
      <c r="W216" s="649"/>
    </row>
    <row r="217" spans="1:23">
      <c r="A217" s="647"/>
      <c r="B217" s="648"/>
      <c r="C217" s="649"/>
      <c r="D217" s="649"/>
      <c r="I217" s="652"/>
      <c r="K217" s="652"/>
      <c r="M217" s="652"/>
      <c r="U217" s="649"/>
      <c r="V217" s="649"/>
      <c r="W217" s="649"/>
    </row>
    <row r="218" spans="1:23">
      <c r="A218" s="647"/>
      <c r="B218" s="648"/>
      <c r="C218" s="649"/>
      <c r="D218" s="649"/>
      <c r="I218" s="652"/>
      <c r="K218" s="652"/>
      <c r="M218" s="652"/>
      <c r="U218" s="649"/>
      <c r="V218" s="649"/>
      <c r="W218" s="649"/>
    </row>
    <row r="219" spans="1:23">
      <c r="A219" s="647"/>
      <c r="B219" s="648"/>
      <c r="C219" s="649"/>
      <c r="D219" s="649"/>
      <c r="I219" s="652"/>
      <c r="K219" s="652"/>
      <c r="M219" s="652"/>
      <c r="U219" s="649"/>
      <c r="V219" s="649"/>
      <c r="W219" s="649"/>
    </row>
    <row r="220" spans="1:23">
      <c r="A220" s="647"/>
      <c r="B220" s="648"/>
      <c r="C220" s="649"/>
      <c r="D220" s="649"/>
      <c r="I220" s="652"/>
      <c r="K220" s="652"/>
      <c r="M220" s="652"/>
      <c r="U220" s="649"/>
      <c r="V220" s="649"/>
      <c r="W220" s="649"/>
    </row>
    <row r="221" spans="1:23">
      <c r="A221" s="647"/>
      <c r="B221" s="648"/>
      <c r="C221" s="649"/>
      <c r="D221" s="649"/>
      <c r="I221" s="652"/>
      <c r="K221" s="652"/>
      <c r="M221" s="652"/>
      <c r="U221" s="649"/>
      <c r="V221" s="649"/>
      <c r="W221" s="649"/>
    </row>
    <row r="222" spans="1:23">
      <c r="A222" s="647"/>
      <c r="B222" s="648"/>
      <c r="C222" s="649"/>
      <c r="D222" s="649"/>
      <c r="I222" s="652"/>
      <c r="K222" s="652"/>
      <c r="M222" s="652"/>
      <c r="U222" s="649"/>
      <c r="V222" s="649"/>
      <c r="W222" s="649"/>
    </row>
    <row r="223" spans="1:23">
      <c r="A223" s="647"/>
      <c r="B223" s="648"/>
      <c r="C223" s="649"/>
      <c r="D223" s="649"/>
      <c r="I223" s="652"/>
      <c r="K223" s="652"/>
      <c r="M223" s="652"/>
      <c r="U223" s="649"/>
      <c r="V223" s="649"/>
      <c r="W223" s="649"/>
    </row>
    <row r="224" spans="1:23">
      <c r="A224" s="647"/>
      <c r="B224" s="648"/>
      <c r="C224" s="649"/>
      <c r="D224" s="649"/>
      <c r="I224" s="652"/>
      <c r="K224" s="652"/>
      <c r="M224" s="652"/>
      <c r="U224" s="649"/>
      <c r="V224" s="649"/>
      <c r="W224" s="649"/>
    </row>
    <row r="225" spans="1:23">
      <c r="A225" s="647"/>
      <c r="B225" s="648"/>
      <c r="C225" s="649"/>
      <c r="D225" s="649"/>
      <c r="I225" s="652"/>
      <c r="K225" s="652"/>
      <c r="M225" s="652"/>
      <c r="U225" s="649"/>
      <c r="V225" s="649"/>
      <c r="W225" s="649"/>
    </row>
    <row r="226" spans="1:23">
      <c r="A226" s="647"/>
      <c r="B226" s="648"/>
      <c r="C226" s="649"/>
      <c r="D226" s="649"/>
      <c r="I226" s="652"/>
      <c r="K226" s="652"/>
      <c r="M226" s="652"/>
      <c r="U226" s="649"/>
      <c r="V226" s="649"/>
      <c r="W226" s="649"/>
    </row>
    <row r="227" spans="1:23">
      <c r="A227" s="647"/>
      <c r="B227" s="648"/>
      <c r="C227" s="649"/>
      <c r="D227" s="649"/>
      <c r="I227" s="652"/>
      <c r="K227" s="652"/>
      <c r="M227" s="652"/>
      <c r="U227" s="649"/>
      <c r="V227" s="649"/>
      <c r="W227" s="649"/>
    </row>
    <row r="228" spans="1:23">
      <c r="A228" s="647"/>
      <c r="B228" s="648"/>
      <c r="C228" s="649"/>
      <c r="D228" s="649"/>
      <c r="I228" s="652"/>
      <c r="K228" s="652"/>
      <c r="M228" s="652"/>
      <c r="U228" s="649"/>
      <c r="V228" s="649"/>
      <c r="W228" s="649"/>
    </row>
    <row r="229" spans="1:23">
      <c r="A229" s="647"/>
      <c r="B229" s="648"/>
      <c r="C229" s="649"/>
      <c r="D229" s="649"/>
      <c r="I229" s="652"/>
      <c r="K229" s="652"/>
      <c r="M229" s="652"/>
      <c r="U229" s="649"/>
      <c r="V229" s="649"/>
      <c r="W229" s="649"/>
    </row>
    <row r="230" spans="1:23">
      <c r="A230" s="647"/>
      <c r="B230" s="648"/>
      <c r="C230" s="649"/>
      <c r="D230" s="649"/>
      <c r="I230" s="652"/>
      <c r="K230" s="652"/>
      <c r="M230" s="652"/>
      <c r="U230" s="649"/>
      <c r="V230" s="649"/>
      <c r="W230" s="649"/>
    </row>
    <row r="231" spans="1:23">
      <c r="A231" s="647"/>
      <c r="B231" s="648"/>
      <c r="C231" s="649"/>
      <c r="D231" s="649"/>
      <c r="I231" s="652"/>
      <c r="K231" s="652"/>
      <c r="M231" s="652"/>
      <c r="U231" s="649"/>
      <c r="V231" s="649"/>
      <c r="W231" s="649"/>
    </row>
    <row r="232" spans="1:23">
      <c r="A232" s="647"/>
      <c r="B232" s="648"/>
      <c r="C232" s="649"/>
      <c r="D232" s="649"/>
      <c r="I232" s="652"/>
      <c r="K232" s="652"/>
      <c r="M232" s="652"/>
      <c r="U232" s="649"/>
      <c r="V232" s="649"/>
      <c r="W232" s="649"/>
    </row>
    <row r="233" spans="1:23">
      <c r="A233" s="647"/>
      <c r="B233" s="648"/>
      <c r="C233" s="649"/>
      <c r="D233" s="649"/>
      <c r="I233" s="652"/>
      <c r="K233" s="652"/>
      <c r="M233" s="652"/>
      <c r="U233" s="649"/>
      <c r="V233" s="649"/>
      <c r="W233" s="649"/>
    </row>
    <row r="234" spans="1:23">
      <c r="A234" s="647"/>
      <c r="B234" s="648"/>
      <c r="C234" s="649"/>
      <c r="D234" s="649"/>
      <c r="I234" s="652"/>
      <c r="K234" s="652"/>
      <c r="M234" s="652"/>
      <c r="U234" s="649"/>
      <c r="V234" s="649"/>
      <c r="W234" s="649"/>
    </row>
    <row r="235" spans="1:23">
      <c r="A235" s="647"/>
      <c r="B235" s="648"/>
      <c r="C235" s="649"/>
      <c r="D235" s="649"/>
      <c r="I235" s="652"/>
      <c r="K235" s="652"/>
      <c r="M235" s="652"/>
      <c r="U235" s="649"/>
      <c r="V235" s="649"/>
      <c r="W235" s="649"/>
    </row>
    <row r="236" spans="1:23">
      <c r="A236" s="647"/>
      <c r="B236" s="648"/>
      <c r="C236" s="649"/>
      <c r="D236" s="649"/>
      <c r="I236" s="652"/>
      <c r="K236" s="652"/>
      <c r="M236" s="652"/>
      <c r="U236" s="649"/>
      <c r="V236" s="649"/>
      <c r="W236" s="649"/>
    </row>
    <row r="237" spans="1:23">
      <c r="A237" s="647"/>
      <c r="B237" s="648"/>
      <c r="C237" s="649"/>
      <c r="D237" s="649"/>
      <c r="I237" s="652"/>
      <c r="K237" s="652"/>
      <c r="M237" s="652"/>
      <c r="U237" s="649"/>
      <c r="V237" s="649"/>
      <c r="W237" s="649"/>
    </row>
    <row r="238" spans="1:23">
      <c r="A238" s="647"/>
      <c r="B238" s="648"/>
      <c r="C238" s="649"/>
      <c r="D238" s="649"/>
      <c r="I238" s="652"/>
      <c r="K238" s="652"/>
      <c r="M238" s="652"/>
      <c r="U238" s="649"/>
      <c r="V238" s="649"/>
      <c r="W238" s="649"/>
    </row>
    <row r="239" spans="1:23">
      <c r="A239" s="647"/>
      <c r="B239" s="648"/>
      <c r="C239" s="649"/>
      <c r="D239" s="649"/>
      <c r="I239" s="652"/>
      <c r="K239" s="652"/>
      <c r="M239" s="652"/>
      <c r="U239" s="649"/>
      <c r="V239" s="649"/>
      <c r="W239" s="649"/>
    </row>
    <row r="240" spans="1:23">
      <c r="A240" s="647"/>
      <c r="B240" s="648"/>
      <c r="C240" s="649"/>
      <c r="D240" s="649"/>
      <c r="I240" s="652"/>
      <c r="K240" s="652"/>
      <c r="M240" s="652"/>
      <c r="U240" s="649"/>
      <c r="V240" s="649"/>
      <c r="W240" s="649"/>
    </row>
    <row r="241" spans="1:23">
      <c r="A241" s="647"/>
      <c r="B241" s="648"/>
      <c r="C241" s="649"/>
      <c r="D241" s="649"/>
      <c r="I241" s="652"/>
      <c r="K241" s="652"/>
      <c r="M241" s="652"/>
      <c r="U241" s="649"/>
      <c r="V241" s="649"/>
      <c r="W241" s="649"/>
    </row>
    <row r="242" spans="1:23">
      <c r="A242" s="647"/>
      <c r="B242" s="648"/>
      <c r="C242" s="649"/>
      <c r="D242" s="649"/>
      <c r="I242" s="652"/>
      <c r="K242" s="652"/>
      <c r="M242" s="652"/>
      <c r="U242" s="649"/>
      <c r="V242" s="649"/>
      <c r="W242" s="649"/>
    </row>
    <row r="243" spans="1:23">
      <c r="A243" s="647"/>
      <c r="B243" s="648"/>
      <c r="C243" s="649"/>
      <c r="D243" s="649"/>
      <c r="I243" s="652"/>
      <c r="K243" s="652"/>
      <c r="M243" s="652"/>
      <c r="U243" s="649"/>
      <c r="V243" s="649"/>
      <c r="W243" s="649"/>
    </row>
    <row r="244" spans="1:23">
      <c r="A244" s="647"/>
      <c r="B244" s="648"/>
      <c r="C244" s="649"/>
      <c r="D244" s="649"/>
      <c r="I244" s="652"/>
      <c r="K244" s="652"/>
      <c r="M244" s="652"/>
      <c r="U244" s="649"/>
      <c r="V244" s="649"/>
      <c r="W244" s="649"/>
    </row>
    <row r="245" spans="1:23">
      <c r="A245" s="647"/>
      <c r="B245" s="648"/>
      <c r="C245" s="649"/>
      <c r="D245" s="649"/>
      <c r="I245" s="652"/>
      <c r="K245" s="652"/>
      <c r="M245" s="652"/>
      <c r="U245" s="649"/>
      <c r="V245" s="649"/>
      <c r="W245" s="649"/>
    </row>
    <row r="246" spans="1:23">
      <c r="A246" s="647"/>
      <c r="B246" s="648"/>
      <c r="C246" s="649"/>
      <c r="D246" s="649"/>
      <c r="I246" s="652"/>
      <c r="K246" s="652"/>
      <c r="M246" s="652"/>
      <c r="U246" s="649"/>
      <c r="V246" s="649"/>
      <c r="W246" s="649"/>
    </row>
    <row r="247" spans="1:23">
      <c r="A247" s="647"/>
      <c r="B247" s="648"/>
      <c r="C247" s="649"/>
      <c r="D247" s="649"/>
      <c r="I247" s="652"/>
      <c r="K247" s="652"/>
      <c r="M247" s="652"/>
      <c r="U247" s="649"/>
      <c r="V247" s="649"/>
      <c r="W247" s="649"/>
    </row>
    <row r="248" spans="1:23">
      <c r="A248" s="647"/>
      <c r="B248" s="648"/>
      <c r="C248" s="649"/>
      <c r="D248" s="649"/>
      <c r="I248" s="652"/>
      <c r="K248" s="652"/>
      <c r="M248" s="652"/>
      <c r="U248" s="649"/>
      <c r="V248" s="649"/>
      <c r="W248" s="649"/>
    </row>
    <row r="249" spans="1:23">
      <c r="A249" s="647"/>
      <c r="B249" s="648"/>
      <c r="C249" s="649"/>
      <c r="D249" s="649"/>
      <c r="I249" s="652"/>
      <c r="K249" s="652"/>
      <c r="M249" s="652"/>
      <c r="U249" s="649"/>
      <c r="V249" s="649"/>
      <c r="W249" s="649"/>
    </row>
    <row r="250" spans="1:23">
      <c r="A250" s="647"/>
      <c r="B250" s="648"/>
      <c r="C250" s="649"/>
      <c r="D250" s="649"/>
      <c r="I250" s="652"/>
      <c r="K250" s="652"/>
      <c r="M250" s="652"/>
      <c r="U250" s="649"/>
      <c r="V250" s="649"/>
      <c r="W250" s="649"/>
    </row>
    <row r="251" spans="1:23">
      <c r="A251" s="647"/>
      <c r="B251" s="648"/>
      <c r="C251" s="649"/>
      <c r="D251" s="649"/>
      <c r="I251" s="652"/>
      <c r="K251" s="652"/>
      <c r="M251" s="652"/>
      <c r="U251" s="649"/>
      <c r="V251" s="649"/>
      <c r="W251" s="649"/>
    </row>
    <row r="252" spans="1:23">
      <c r="A252" s="647"/>
      <c r="B252" s="648"/>
      <c r="C252" s="649"/>
      <c r="D252" s="649"/>
      <c r="I252" s="652"/>
      <c r="K252" s="652"/>
      <c r="M252" s="652"/>
      <c r="U252" s="649"/>
      <c r="V252" s="649"/>
      <c r="W252" s="649"/>
    </row>
    <row r="253" spans="1:23">
      <c r="A253" s="647"/>
      <c r="B253" s="648"/>
      <c r="C253" s="649"/>
      <c r="D253" s="649"/>
      <c r="I253" s="652"/>
      <c r="K253" s="652"/>
      <c r="M253" s="652"/>
      <c r="U253" s="649"/>
      <c r="V253" s="649"/>
      <c r="W253" s="649"/>
    </row>
    <row r="254" spans="1:23">
      <c r="A254" s="647"/>
      <c r="B254" s="648"/>
      <c r="C254" s="649"/>
      <c r="D254" s="649"/>
      <c r="I254" s="652"/>
      <c r="K254" s="652"/>
      <c r="M254" s="652"/>
      <c r="U254" s="649"/>
      <c r="V254" s="649"/>
      <c r="W254" s="649"/>
    </row>
    <row r="255" spans="1:23">
      <c r="A255" s="647"/>
      <c r="B255" s="648"/>
      <c r="C255" s="649"/>
      <c r="D255" s="649"/>
      <c r="I255" s="652"/>
      <c r="K255" s="652"/>
      <c r="M255" s="652"/>
      <c r="U255" s="649"/>
      <c r="V255" s="649"/>
      <c r="W255" s="649"/>
    </row>
    <row r="256" spans="1:23">
      <c r="A256" s="647"/>
      <c r="B256" s="648"/>
      <c r="C256" s="649"/>
      <c r="D256" s="649"/>
      <c r="I256" s="652"/>
      <c r="K256" s="652"/>
      <c r="M256" s="652"/>
      <c r="U256" s="649"/>
      <c r="V256" s="649"/>
      <c r="W256" s="649"/>
    </row>
    <row r="257" spans="1:23">
      <c r="A257" s="647"/>
      <c r="B257" s="648"/>
      <c r="C257" s="649"/>
      <c r="D257" s="649"/>
      <c r="I257" s="652"/>
      <c r="K257" s="652"/>
      <c r="M257" s="652"/>
      <c r="U257" s="649"/>
      <c r="V257" s="649"/>
      <c r="W257" s="649"/>
    </row>
    <row r="258" spans="1:23">
      <c r="A258" s="647"/>
      <c r="B258" s="648"/>
      <c r="C258" s="649"/>
      <c r="D258" s="649"/>
      <c r="I258" s="652"/>
      <c r="K258" s="652"/>
      <c r="M258" s="652"/>
      <c r="U258" s="649"/>
      <c r="V258" s="649"/>
      <c r="W258" s="649"/>
    </row>
    <row r="259" spans="1:23">
      <c r="A259" s="647"/>
      <c r="B259" s="648"/>
      <c r="C259" s="649"/>
      <c r="D259" s="649"/>
      <c r="I259" s="652"/>
      <c r="K259" s="652"/>
      <c r="M259" s="652"/>
      <c r="U259" s="649"/>
      <c r="V259" s="649"/>
      <c r="W259" s="649"/>
    </row>
    <row r="260" spans="1:23">
      <c r="A260" s="647"/>
      <c r="B260" s="648"/>
      <c r="C260" s="649"/>
      <c r="D260" s="649"/>
      <c r="I260" s="652"/>
      <c r="K260" s="652"/>
      <c r="M260" s="652"/>
      <c r="U260" s="649"/>
      <c r="V260" s="649"/>
      <c r="W260" s="649"/>
    </row>
    <row r="261" spans="1:23">
      <c r="A261" s="647"/>
      <c r="B261" s="648"/>
      <c r="C261" s="649"/>
      <c r="D261" s="649"/>
      <c r="I261" s="652"/>
      <c r="K261" s="652"/>
      <c r="M261" s="652"/>
      <c r="U261" s="649"/>
      <c r="V261" s="649"/>
      <c r="W261" s="649"/>
    </row>
    <row r="262" spans="1:23">
      <c r="A262" s="647"/>
      <c r="B262" s="648"/>
      <c r="C262" s="649"/>
      <c r="D262" s="649"/>
      <c r="I262" s="652"/>
      <c r="K262" s="652"/>
      <c r="M262" s="652"/>
      <c r="U262" s="649"/>
      <c r="V262" s="649"/>
      <c r="W262" s="649"/>
    </row>
    <row r="263" spans="1:23">
      <c r="A263" s="647"/>
      <c r="B263" s="648"/>
      <c r="C263" s="649"/>
      <c r="D263" s="649"/>
      <c r="I263" s="652"/>
      <c r="K263" s="652"/>
      <c r="M263" s="652"/>
      <c r="U263" s="649"/>
      <c r="V263" s="649"/>
      <c r="W263" s="649"/>
    </row>
    <row r="264" spans="1:23">
      <c r="A264" s="647"/>
      <c r="B264" s="648"/>
      <c r="C264" s="649"/>
      <c r="D264" s="649"/>
      <c r="I264" s="652"/>
      <c r="K264" s="652"/>
      <c r="M264" s="652"/>
      <c r="U264" s="649"/>
      <c r="V264" s="649"/>
      <c r="W264" s="649"/>
    </row>
    <row r="265" spans="1:23">
      <c r="A265" s="647"/>
      <c r="B265" s="648"/>
      <c r="C265" s="649"/>
      <c r="D265" s="649"/>
      <c r="I265" s="652"/>
      <c r="K265" s="652"/>
      <c r="M265" s="652"/>
      <c r="U265" s="649"/>
      <c r="V265" s="649"/>
      <c r="W265" s="649"/>
    </row>
    <row r="266" spans="1:23">
      <c r="A266" s="647"/>
      <c r="B266" s="648"/>
      <c r="C266" s="649"/>
      <c r="D266" s="649"/>
      <c r="I266" s="652"/>
      <c r="K266" s="652"/>
      <c r="M266" s="652"/>
      <c r="U266" s="649"/>
      <c r="V266" s="649"/>
      <c r="W266" s="649"/>
    </row>
    <row r="267" spans="1:23">
      <c r="A267" s="647"/>
      <c r="B267" s="648"/>
      <c r="C267" s="649"/>
      <c r="D267" s="649"/>
      <c r="I267" s="652"/>
      <c r="K267" s="652"/>
      <c r="M267" s="652"/>
      <c r="U267" s="649"/>
      <c r="V267" s="649"/>
      <c r="W267" s="649"/>
    </row>
    <row r="268" spans="1:23">
      <c r="A268" s="647"/>
      <c r="B268" s="648"/>
      <c r="C268" s="649"/>
      <c r="D268" s="649"/>
      <c r="I268" s="652"/>
      <c r="K268" s="652"/>
      <c r="M268" s="652"/>
      <c r="U268" s="649"/>
      <c r="V268" s="649"/>
      <c r="W268" s="649"/>
    </row>
    <row r="269" spans="1:23">
      <c r="A269" s="647"/>
      <c r="B269" s="648"/>
      <c r="C269" s="649"/>
      <c r="D269" s="649"/>
      <c r="I269" s="652"/>
      <c r="K269" s="652"/>
      <c r="M269" s="652"/>
      <c r="U269" s="649"/>
      <c r="V269" s="649"/>
      <c r="W269" s="649"/>
    </row>
    <row r="270" spans="1:23">
      <c r="A270" s="647"/>
      <c r="B270" s="648"/>
      <c r="C270" s="649"/>
      <c r="D270" s="649"/>
      <c r="I270" s="652"/>
      <c r="K270" s="652"/>
      <c r="M270" s="652"/>
      <c r="U270" s="649"/>
      <c r="V270" s="649"/>
      <c r="W270" s="649"/>
    </row>
    <row r="271" spans="1:23">
      <c r="A271" s="647"/>
      <c r="B271" s="648"/>
      <c r="C271" s="649"/>
      <c r="D271" s="649"/>
      <c r="I271" s="652"/>
      <c r="K271" s="652"/>
      <c r="M271" s="652"/>
      <c r="U271" s="649"/>
      <c r="V271" s="649"/>
      <c r="W271" s="649"/>
    </row>
    <row r="272" spans="1:23">
      <c r="A272" s="647"/>
      <c r="B272" s="648"/>
      <c r="C272" s="649"/>
      <c r="D272" s="649"/>
      <c r="I272" s="652"/>
      <c r="K272" s="652"/>
      <c r="M272" s="652"/>
      <c r="U272" s="649"/>
      <c r="V272" s="649"/>
      <c r="W272" s="649"/>
    </row>
    <row r="273" spans="1:23">
      <c r="A273" s="647"/>
      <c r="B273" s="648"/>
      <c r="C273" s="649"/>
      <c r="D273" s="649"/>
      <c r="I273" s="652"/>
      <c r="K273" s="652"/>
      <c r="M273" s="652"/>
      <c r="U273" s="649"/>
      <c r="V273" s="649"/>
      <c r="W273" s="649"/>
    </row>
    <row r="274" spans="1:23">
      <c r="A274" s="647"/>
      <c r="B274" s="648"/>
      <c r="C274" s="649"/>
      <c r="D274" s="649"/>
      <c r="I274" s="652"/>
      <c r="K274" s="652"/>
      <c r="M274" s="652"/>
      <c r="U274" s="649"/>
      <c r="V274" s="649"/>
      <c r="W274" s="649"/>
    </row>
    <row r="275" spans="1:23">
      <c r="A275" s="647"/>
      <c r="B275" s="648"/>
      <c r="C275" s="649"/>
      <c r="D275" s="649"/>
      <c r="I275" s="652"/>
      <c r="K275" s="652"/>
      <c r="M275" s="652"/>
      <c r="U275" s="649"/>
      <c r="V275" s="649"/>
      <c r="W275" s="649"/>
    </row>
    <row r="276" spans="1:23">
      <c r="A276" s="647"/>
      <c r="B276" s="648"/>
      <c r="C276" s="649"/>
      <c r="D276" s="649"/>
      <c r="I276" s="652"/>
      <c r="K276" s="652"/>
      <c r="M276" s="652"/>
      <c r="U276" s="649"/>
      <c r="V276" s="649"/>
      <c r="W276" s="649"/>
    </row>
    <row r="277" spans="1:23">
      <c r="A277" s="647"/>
      <c r="B277" s="648"/>
      <c r="C277" s="649"/>
      <c r="D277" s="649"/>
      <c r="I277" s="652"/>
      <c r="K277" s="652"/>
      <c r="M277" s="652"/>
      <c r="U277" s="649"/>
      <c r="V277" s="649"/>
      <c r="W277" s="649"/>
    </row>
    <row r="278" spans="1:23">
      <c r="A278" s="647"/>
      <c r="B278" s="648"/>
      <c r="C278" s="649"/>
      <c r="D278" s="649"/>
      <c r="I278" s="652"/>
      <c r="K278" s="652"/>
      <c r="M278" s="652"/>
      <c r="U278" s="649"/>
      <c r="V278" s="649"/>
      <c r="W278" s="649"/>
    </row>
    <row r="279" spans="1:23">
      <c r="A279" s="647"/>
      <c r="B279" s="648"/>
      <c r="C279" s="649"/>
      <c r="D279" s="649"/>
      <c r="I279" s="652"/>
      <c r="K279" s="652"/>
      <c r="M279" s="652"/>
      <c r="U279" s="649"/>
      <c r="V279" s="649"/>
      <c r="W279" s="649"/>
    </row>
    <row r="280" spans="1:23">
      <c r="A280" s="647"/>
      <c r="B280" s="648"/>
      <c r="C280" s="649"/>
      <c r="D280" s="649"/>
      <c r="I280" s="652"/>
      <c r="K280" s="652"/>
      <c r="M280" s="652"/>
      <c r="U280" s="649"/>
      <c r="V280" s="649"/>
      <c r="W280" s="649"/>
    </row>
    <row r="281" spans="1:23">
      <c r="A281" s="647"/>
      <c r="B281" s="648"/>
      <c r="C281" s="649"/>
      <c r="D281" s="649"/>
      <c r="I281" s="652"/>
      <c r="K281" s="652"/>
      <c r="M281" s="652"/>
      <c r="U281" s="649"/>
      <c r="V281" s="649"/>
      <c r="W281" s="649"/>
    </row>
    <row r="282" spans="1:23">
      <c r="A282" s="647"/>
      <c r="B282" s="648"/>
      <c r="C282" s="649"/>
      <c r="D282" s="649"/>
      <c r="I282" s="652"/>
      <c r="K282" s="652"/>
      <c r="M282" s="652"/>
      <c r="U282" s="649"/>
      <c r="V282" s="649"/>
      <c r="W282" s="649"/>
    </row>
    <row r="283" spans="1:23">
      <c r="A283" s="647"/>
      <c r="B283" s="648"/>
      <c r="C283" s="649"/>
      <c r="D283" s="649"/>
      <c r="I283" s="652"/>
      <c r="K283" s="652"/>
      <c r="M283" s="652"/>
      <c r="U283" s="649"/>
      <c r="V283" s="649"/>
      <c r="W283" s="649"/>
    </row>
    <row r="284" spans="1:23">
      <c r="A284" s="647"/>
      <c r="B284" s="648"/>
      <c r="C284" s="649"/>
      <c r="D284" s="649"/>
      <c r="I284" s="652"/>
      <c r="K284" s="652"/>
      <c r="M284" s="652"/>
      <c r="U284" s="649"/>
      <c r="V284" s="649"/>
      <c r="W284" s="649"/>
    </row>
    <row r="285" spans="1:23">
      <c r="A285" s="647"/>
      <c r="B285" s="648"/>
      <c r="C285" s="649"/>
      <c r="D285" s="649"/>
      <c r="I285" s="652"/>
      <c r="K285" s="652"/>
      <c r="M285" s="652"/>
      <c r="U285" s="649"/>
      <c r="V285" s="649"/>
      <c r="W285" s="649"/>
    </row>
    <row r="286" spans="1:23">
      <c r="A286" s="647"/>
      <c r="B286" s="648"/>
      <c r="C286" s="649"/>
      <c r="D286" s="649"/>
      <c r="I286" s="652"/>
      <c r="K286" s="652"/>
      <c r="M286" s="652"/>
      <c r="U286" s="649"/>
      <c r="V286" s="649"/>
      <c r="W286" s="649"/>
    </row>
    <row r="287" spans="1:23">
      <c r="A287" s="647"/>
      <c r="B287" s="648"/>
      <c r="C287" s="649"/>
      <c r="D287" s="649"/>
      <c r="I287" s="652"/>
      <c r="K287" s="652"/>
      <c r="M287" s="652"/>
      <c r="U287" s="649"/>
      <c r="V287" s="649"/>
      <c r="W287" s="649"/>
    </row>
    <row r="288" spans="1:23">
      <c r="A288" s="647"/>
      <c r="B288" s="648"/>
      <c r="C288" s="649"/>
      <c r="D288" s="649"/>
      <c r="I288" s="652"/>
      <c r="K288" s="652"/>
      <c r="M288" s="652"/>
      <c r="U288" s="649"/>
      <c r="V288" s="649"/>
      <c r="W288" s="649"/>
    </row>
    <row r="289" spans="1:23">
      <c r="A289" s="647"/>
      <c r="B289" s="648"/>
      <c r="C289" s="649"/>
      <c r="D289" s="649"/>
      <c r="I289" s="652"/>
      <c r="K289" s="652"/>
      <c r="M289" s="652"/>
      <c r="U289" s="649"/>
      <c r="V289" s="649"/>
      <c r="W289" s="649"/>
    </row>
    <row r="290" spans="1:23">
      <c r="A290" s="647"/>
      <c r="B290" s="648"/>
      <c r="C290" s="649"/>
      <c r="D290" s="649"/>
      <c r="I290" s="652"/>
      <c r="K290" s="652"/>
      <c r="M290" s="652"/>
      <c r="U290" s="649"/>
      <c r="V290" s="649"/>
      <c r="W290" s="649"/>
    </row>
    <row r="291" spans="1:23">
      <c r="A291" s="647"/>
      <c r="B291" s="648"/>
      <c r="C291" s="649"/>
      <c r="D291" s="649"/>
      <c r="I291" s="652"/>
      <c r="K291" s="652"/>
      <c r="M291" s="652"/>
      <c r="U291" s="649"/>
      <c r="V291" s="649"/>
      <c r="W291" s="649"/>
    </row>
    <row r="292" spans="1:23">
      <c r="A292" s="647"/>
      <c r="B292" s="648"/>
      <c r="C292" s="649"/>
      <c r="D292" s="649"/>
      <c r="I292" s="652"/>
      <c r="K292" s="652"/>
      <c r="M292" s="652"/>
      <c r="U292" s="649"/>
      <c r="V292" s="649"/>
      <c r="W292" s="649"/>
    </row>
    <row r="293" spans="1:23">
      <c r="A293" s="647"/>
      <c r="B293" s="648"/>
      <c r="C293" s="649"/>
      <c r="D293" s="649"/>
      <c r="I293" s="652"/>
      <c r="K293" s="652"/>
      <c r="M293" s="652"/>
      <c r="U293" s="649"/>
      <c r="V293" s="649"/>
      <c r="W293" s="649"/>
    </row>
    <row r="294" spans="1:23">
      <c r="A294" s="647"/>
      <c r="B294" s="648"/>
      <c r="C294" s="649"/>
      <c r="D294" s="649"/>
      <c r="I294" s="652"/>
      <c r="K294" s="652"/>
      <c r="M294" s="652"/>
      <c r="U294" s="649"/>
      <c r="V294" s="649"/>
      <c r="W294" s="649"/>
    </row>
    <row r="295" spans="1:23">
      <c r="A295" s="647"/>
      <c r="B295" s="648"/>
      <c r="C295" s="649"/>
      <c r="D295" s="649"/>
      <c r="I295" s="652"/>
      <c r="K295" s="652"/>
      <c r="M295" s="652"/>
      <c r="U295" s="649"/>
      <c r="V295" s="649"/>
      <c r="W295" s="649"/>
    </row>
    <row r="296" spans="1:23">
      <c r="A296" s="647"/>
      <c r="B296" s="648"/>
      <c r="C296" s="649"/>
      <c r="D296" s="649"/>
      <c r="I296" s="652"/>
      <c r="K296" s="652"/>
      <c r="M296" s="652"/>
      <c r="U296" s="649"/>
      <c r="V296" s="649"/>
      <c r="W296" s="649"/>
    </row>
    <row r="297" spans="1:23">
      <c r="A297" s="647"/>
      <c r="B297" s="648"/>
      <c r="C297" s="649"/>
      <c r="D297" s="649"/>
      <c r="I297" s="652"/>
      <c r="K297" s="652"/>
      <c r="M297" s="652"/>
      <c r="U297" s="649"/>
      <c r="V297" s="649"/>
      <c r="W297" s="649"/>
    </row>
    <row r="298" spans="1:23">
      <c r="A298" s="647"/>
      <c r="B298" s="648"/>
      <c r="C298" s="649"/>
      <c r="D298" s="649"/>
      <c r="I298" s="652"/>
      <c r="K298" s="652"/>
      <c r="M298" s="652"/>
      <c r="U298" s="649"/>
      <c r="V298" s="649"/>
      <c r="W298" s="649"/>
    </row>
    <row r="299" spans="1:23">
      <c r="A299" s="647"/>
      <c r="B299" s="648"/>
      <c r="C299" s="649"/>
      <c r="D299" s="649"/>
      <c r="I299" s="652"/>
      <c r="K299" s="652"/>
      <c r="M299" s="652"/>
      <c r="U299" s="649"/>
      <c r="V299" s="649"/>
      <c r="W299" s="649"/>
    </row>
    <row r="300" spans="1:23">
      <c r="A300" s="647"/>
      <c r="B300" s="648"/>
      <c r="C300" s="649"/>
      <c r="D300" s="649"/>
      <c r="I300" s="652"/>
      <c r="K300" s="652"/>
      <c r="M300" s="652"/>
      <c r="U300" s="649"/>
      <c r="V300" s="649"/>
      <c r="W300" s="649"/>
    </row>
    <row r="301" spans="1:23">
      <c r="A301" s="647"/>
      <c r="B301" s="648"/>
      <c r="C301" s="649"/>
      <c r="D301" s="649"/>
      <c r="I301" s="652"/>
      <c r="K301" s="652"/>
      <c r="M301" s="652"/>
      <c r="U301" s="649"/>
      <c r="V301" s="649"/>
      <c r="W301" s="649"/>
    </row>
    <row r="302" spans="1:23">
      <c r="A302" s="647"/>
      <c r="B302" s="648"/>
      <c r="C302" s="649"/>
      <c r="D302" s="649"/>
      <c r="I302" s="652"/>
      <c r="K302" s="652"/>
      <c r="M302" s="652"/>
      <c r="U302" s="649"/>
      <c r="V302" s="649"/>
      <c r="W302" s="649"/>
    </row>
    <row r="303" spans="1:23">
      <c r="A303" s="647"/>
      <c r="B303" s="648"/>
      <c r="C303" s="649"/>
      <c r="D303" s="649"/>
      <c r="I303" s="652"/>
      <c r="K303" s="652"/>
      <c r="M303" s="652"/>
      <c r="U303" s="649"/>
      <c r="V303" s="649"/>
      <c r="W303" s="649"/>
    </row>
    <row r="304" spans="1:23">
      <c r="A304" s="647"/>
      <c r="B304" s="648"/>
      <c r="C304" s="649"/>
      <c r="D304" s="649"/>
      <c r="I304" s="652"/>
      <c r="K304" s="652"/>
      <c r="M304" s="652"/>
      <c r="U304" s="649"/>
      <c r="V304" s="649"/>
      <c r="W304" s="649"/>
    </row>
    <row r="305" spans="1:23">
      <c r="A305" s="647"/>
      <c r="B305" s="648"/>
      <c r="C305" s="649"/>
      <c r="D305" s="649"/>
      <c r="I305" s="652"/>
      <c r="K305" s="652"/>
      <c r="M305" s="652"/>
      <c r="U305" s="649"/>
      <c r="V305" s="649"/>
      <c r="W305" s="649"/>
    </row>
    <row r="306" spans="1:23">
      <c r="A306" s="647"/>
      <c r="B306" s="648"/>
      <c r="C306" s="649"/>
      <c r="D306" s="649"/>
      <c r="I306" s="652"/>
      <c r="K306" s="652"/>
      <c r="M306" s="652"/>
      <c r="U306" s="649"/>
      <c r="V306" s="649"/>
      <c r="W306" s="649"/>
    </row>
    <row r="307" spans="1:23">
      <c r="A307" s="647"/>
      <c r="B307" s="648"/>
      <c r="C307" s="649"/>
      <c r="D307" s="649"/>
      <c r="I307" s="652"/>
      <c r="K307" s="652"/>
      <c r="M307" s="652"/>
      <c r="U307" s="649"/>
      <c r="V307" s="649"/>
      <c r="W307" s="649"/>
    </row>
    <row r="308" spans="1:23">
      <c r="A308" s="647"/>
      <c r="B308" s="648"/>
      <c r="C308" s="649"/>
      <c r="D308" s="649"/>
      <c r="I308" s="652"/>
      <c r="K308" s="652"/>
      <c r="M308" s="652"/>
      <c r="U308" s="649"/>
      <c r="V308" s="649"/>
      <c r="W308" s="649"/>
    </row>
    <row r="309" spans="1:23">
      <c r="A309" s="647"/>
      <c r="B309" s="648"/>
      <c r="C309" s="649"/>
      <c r="D309" s="649"/>
      <c r="I309" s="652"/>
      <c r="K309" s="652"/>
      <c r="M309" s="652"/>
      <c r="U309" s="649"/>
      <c r="V309" s="649"/>
      <c r="W309" s="649"/>
    </row>
    <row r="310" spans="1:23">
      <c r="A310" s="647"/>
      <c r="B310" s="648"/>
      <c r="C310" s="649"/>
      <c r="D310" s="649"/>
      <c r="I310" s="652"/>
      <c r="K310" s="652"/>
      <c r="M310" s="652"/>
      <c r="U310" s="649"/>
      <c r="V310" s="649"/>
      <c r="W310" s="649"/>
    </row>
    <row r="311" spans="1:23">
      <c r="A311" s="647"/>
      <c r="B311" s="648"/>
      <c r="C311" s="649"/>
      <c r="D311" s="649"/>
      <c r="I311" s="652"/>
      <c r="K311" s="652"/>
      <c r="M311" s="652"/>
      <c r="U311" s="649"/>
      <c r="V311" s="649"/>
      <c r="W311" s="649"/>
    </row>
    <row r="312" spans="1:23">
      <c r="A312" s="647"/>
      <c r="B312" s="648"/>
      <c r="C312" s="649"/>
      <c r="D312" s="649"/>
      <c r="I312" s="652"/>
      <c r="K312" s="652"/>
      <c r="M312" s="652"/>
      <c r="U312" s="649"/>
      <c r="V312" s="649"/>
      <c r="W312" s="649"/>
    </row>
    <row r="313" spans="1:23">
      <c r="A313" s="647"/>
      <c r="B313" s="648"/>
      <c r="C313" s="649"/>
      <c r="D313" s="649"/>
      <c r="I313" s="652"/>
      <c r="K313" s="652"/>
      <c r="M313" s="652"/>
      <c r="U313" s="649"/>
      <c r="V313" s="649"/>
      <c r="W313" s="649"/>
    </row>
    <row r="314" spans="1:23">
      <c r="A314" s="647"/>
      <c r="B314" s="648"/>
      <c r="C314" s="649"/>
      <c r="D314" s="649"/>
      <c r="I314" s="652"/>
      <c r="K314" s="652"/>
      <c r="M314" s="652"/>
      <c r="U314" s="649"/>
      <c r="V314" s="649"/>
      <c r="W314" s="649"/>
    </row>
    <row r="315" spans="1:23">
      <c r="A315" s="647"/>
      <c r="B315" s="648"/>
      <c r="C315" s="649"/>
      <c r="D315" s="649"/>
      <c r="I315" s="652"/>
      <c r="K315" s="652"/>
      <c r="M315" s="652"/>
      <c r="U315" s="649"/>
      <c r="V315" s="649"/>
      <c r="W315" s="649"/>
    </row>
    <row r="316" spans="1:23">
      <c r="A316" s="647"/>
      <c r="B316" s="648"/>
      <c r="C316" s="649"/>
      <c r="D316" s="649"/>
      <c r="I316" s="652"/>
      <c r="K316" s="652"/>
      <c r="M316" s="652"/>
      <c r="U316" s="649"/>
      <c r="V316" s="649"/>
      <c r="W316" s="649"/>
    </row>
    <row r="317" spans="1:23">
      <c r="A317" s="647"/>
      <c r="B317" s="648"/>
      <c r="C317" s="649"/>
      <c r="D317" s="649"/>
      <c r="I317" s="652"/>
      <c r="K317" s="652"/>
      <c r="M317" s="652"/>
      <c r="U317" s="649"/>
      <c r="V317" s="649"/>
      <c r="W317" s="649"/>
    </row>
    <row r="318" spans="1:23">
      <c r="A318" s="647"/>
      <c r="B318" s="648"/>
      <c r="C318" s="649"/>
      <c r="D318" s="649"/>
      <c r="I318" s="652"/>
      <c r="K318" s="652"/>
      <c r="M318" s="652"/>
      <c r="U318" s="649"/>
      <c r="V318" s="649"/>
      <c r="W318" s="649"/>
    </row>
    <row r="319" spans="1:23">
      <c r="A319" s="647"/>
      <c r="B319" s="648"/>
      <c r="C319" s="649"/>
      <c r="D319" s="649"/>
      <c r="I319" s="652"/>
      <c r="K319" s="652"/>
      <c r="M319" s="652"/>
      <c r="U319" s="649"/>
      <c r="V319" s="649"/>
      <c r="W319" s="649"/>
    </row>
    <row r="320" spans="1:23">
      <c r="A320" s="647"/>
      <c r="B320" s="648"/>
      <c r="C320" s="649"/>
      <c r="D320" s="649"/>
      <c r="I320" s="652"/>
      <c r="K320" s="652"/>
      <c r="M320" s="652"/>
      <c r="U320" s="649"/>
      <c r="V320" s="649"/>
      <c r="W320" s="649"/>
    </row>
    <row r="321" spans="1:23">
      <c r="A321" s="647"/>
      <c r="B321" s="648"/>
      <c r="C321" s="649"/>
      <c r="D321" s="649"/>
      <c r="I321" s="652"/>
      <c r="K321" s="652"/>
      <c r="M321" s="652"/>
      <c r="U321" s="649"/>
      <c r="V321" s="649"/>
      <c r="W321" s="649"/>
    </row>
    <row r="322" spans="1:23">
      <c r="A322" s="647"/>
      <c r="B322" s="648"/>
      <c r="C322" s="649"/>
      <c r="D322" s="649"/>
      <c r="I322" s="652"/>
      <c r="K322" s="652"/>
      <c r="M322" s="652"/>
      <c r="U322" s="649"/>
      <c r="V322" s="649"/>
      <c r="W322" s="649"/>
    </row>
    <row r="323" spans="1:23">
      <c r="A323" s="647"/>
      <c r="B323" s="648"/>
      <c r="C323" s="649"/>
      <c r="D323" s="649"/>
      <c r="I323" s="652"/>
      <c r="K323" s="652"/>
      <c r="M323" s="652"/>
      <c r="U323" s="649"/>
      <c r="V323" s="649"/>
      <c r="W323" s="649"/>
    </row>
    <row r="324" spans="1:23">
      <c r="A324" s="647"/>
      <c r="B324" s="648"/>
      <c r="C324" s="649"/>
      <c r="D324" s="649"/>
      <c r="I324" s="652"/>
      <c r="K324" s="652"/>
      <c r="M324" s="652"/>
      <c r="U324" s="649"/>
      <c r="V324" s="649"/>
      <c r="W324" s="649"/>
    </row>
    <row r="325" spans="1:23">
      <c r="A325" s="647"/>
      <c r="B325" s="648"/>
      <c r="C325" s="649"/>
      <c r="D325" s="649"/>
      <c r="I325" s="652"/>
      <c r="K325" s="652"/>
      <c r="M325" s="652"/>
      <c r="U325" s="649"/>
      <c r="V325" s="649"/>
      <c r="W325" s="649"/>
    </row>
    <row r="326" spans="1:23">
      <c r="A326" s="647"/>
      <c r="B326" s="648"/>
      <c r="C326" s="649"/>
      <c r="D326" s="649"/>
      <c r="I326" s="652"/>
      <c r="K326" s="652"/>
      <c r="M326" s="652"/>
      <c r="U326" s="649"/>
      <c r="V326" s="649"/>
      <c r="W326" s="649"/>
    </row>
    <row r="327" spans="1:23">
      <c r="A327" s="647"/>
      <c r="B327" s="648"/>
      <c r="C327" s="649"/>
      <c r="D327" s="649"/>
      <c r="I327" s="652"/>
      <c r="K327" s="652"/>
      <c r="M327" s="652"/>
      <c r="U327" s="649"/>
      <c r="V327" s="649"/>
      <c r="W327" s="649"/>
    </row>
    <row r="328" spans="1:23">
      <c r="A328" s="647"/>
      <c r="B328" s="648"/>
      <c r="C328" s="649"/>
      <c r="D328" s="649"/>
      <c r="I328" s="652"/>
      <c r="K328" s="652"/>
      <c r="M328" s="652"/>
      <c r="U328" s="649"/>
      <c r="V328" s="649"/>
      <c r="W328" s="649"/>
    </row>
    <row r="329" spans="1:23">
      <c r="A329" s="647"/>
      <c r="B329" s="648"/>
      <c r="C329" s="649"/>
      <c r="D329" s="649"/>
      <c r="I329" s="652"/>
      <c r="K329" s="652"/>
      <c r="M329" s="652"/>
      <c r="U329" s="649"/>
      <c r="V329" s="649"/>
      <c r="W329" s="649"/>
    </row>
    <row r="330" spans="1:23">
      <c r="A330" s="647"/>
      <c r="B330" s="648"/>
      <c r="C330" s="649"/>
      <c r="D330" s="649"/>
      <c r="I330" s="652"/>
      <c r="K330" s="652"/>
      <c r="M330" s="652"/>
      <c r="U330" s="649"/>
      <c r="V330" s="649"/>
      <c r="W330" s="649"/>
    </row>
    <row r="331" spans="1:23">
      <c r="A331" s="647"/>
      <c r="B331" s="648"/>
      <c r="C331" s="649"/>
      <c r="D331" s="649"/>
      <c r="I331" s="652"/>
      <c r="K331" s="652"/>
      <c r="M331" s="652"/>
      <c r="U331" s="649"/>
      <c r="V331" s="649"/>
      <c r="W331" s="649"/>
    </row>
    <row r="332" spans="1:23">
      <c r="A332" s="647"/>
      <c r="B332" s="648"/>
      <c r="C332" s="649"/>
      <c r="D332" s="649"/>
      <c r="I332" s="652"/>
      <c r="K332" s="652"/>
      <c r="M332" s="652"/>
      <c r="U332" s="649"/>
      <c r="V332" s="649"/>
      <c r="W332" s="649"/>
    </row>
    <row r="333" spans="1:23">
      <c r="A333" s="647"/>
      <c r="B333" s="648"/>
      <c r="C333" s="649"/>
      <c r="D333" s="649"/>
      <c r="I333" s="652"/>
      <c r="K333" s="652"/>
      <c r="M333" s="652"/>
      <c r="U333" s="649"/>
      <c r="V333" s="649"/>
      <c r="W333" s="649"/>
    </row>
    <row r="334" spans="1:23">
      <c r="A334" s="647"/>
      <c r="B334" s="648"/>
      <c r="C334" s="649"/>
      <c r="D334" s="649"/>
      <c r="I334" s="652"/>
      <c r="K334" s="652"/>
      <c r="M334" s="652"/>
      <c r="U334" s="649"/>
      <c r="V334" s="649"/>
      <c r="W334" s="649"/>
    </row>
    <row r="335" spans="1:23">
      <c r="A335" s="647"/>
      <c r="B335" s="648"/>
      <c r="C335" s="649"/>
      <c r="D335" s="649"/>
      <c r="I335" s="652"/>
      <c r="K335" s="652"/>
      <c r="M335" s="652"/>
      <c r="U335" s="649"/>
      <c r="V335" s="649"/>
      <c r="W335" s="649"/>
    </row>
    <row r="336" spans="1:23">
      <c r="A336" s="647"/>
      <c r="B336" s="648"/>
      <c r="C336" s="649"/>
      <c r="D336" s="649"/>
      <c r="I336" s="652"/>
      <c r="K336" s="652"/>
      <c r="M336" s="652"/>
      <c r="U336" s="649"/>
      <c r="V336" s="649"/>
      <c r="W336" s="649"/>
    </row>
    <row r="337" spans="1:23">
      <c r="A337" s="647"/>
      <c r="B337" s="648"/>
      <c r="C337" s="649"/>
      <c r="D337" s="649"/>
      <c r="I337" s="652"/>
      <c r="K337" s="652"/>
      <c r="M337" s="652"/>
      <c r="U337" s="649"/>
      <c r="V337" s="649"/>
      <c r="W337" s="649"/>
    </row>
    <row r="338" spans="1:23">
      <c r="A338" s="647"/>
      <c r="B338" s="648"/>
      <c r="C338" s="649"/>
      <c r="D338" s="649"/>
      <c r="I338" s="652"/>
      <c r="K338" s="652"/>
      <c r="M338" s="652"/>
      <c r="U338" s="649"/>
      <c r="V338" s="649"/>
      <c r="W338" s="649"/>
    </row>
    <row r="339" spans="1:23">
      <c r="A339" s="647"/>
      <c r="B339" s="648"/>
      <c r="C339" s="649"/>
      <c r="D339" s="649"/>
      <c r="I339" s="652"/>
      <c r="K339" s="652"/>
      <c r="M339" s="652"/>
      <c r="U339" s="649"/>
      <c r="V339" s="649"/>
      <c r="W339" s="649"/>
    </row>
    <row r="340" spans="1:23">
      <c r="A340" s="647"/>
      <c r="B340" s="648"/>
      <c r="C340" s="649"/>
      <c r="D340" s="649"/>
      <c r="I340" s="652"/>
      <c r="K340" s="652"/>
      <c r="M340" s="652"/>
      <c r="U340" s="649"/>
      <c r="V340" s="649"/>
      <c r="W340" s="649"/>
    </row>
    <row r="341" spans="1:23">
      <c r="A341" s="647"/>
      <c r="B341" s="648"/>
      <c r="C341" s="649"/>
      <c r="D341" s="649"/>
      <c r="I341" s="652"/>
      <c r="K341" s="652"/>
      <c r="M341" s="652"/>
      <c r="U341" s="649"/>
      <c r="V341" s="649"/>
      <c r="W341" s="649"/>
    </row>
    <row r="342" spans="1:23">
      <c r="A342" s="647"/>
      <c r="B342" s="648"/>
      <c r="C342" s="649"/>
      <c r="D342" s="649"/>
      <c r="I342" s="652"/>
      <c r="K342" s="652"/>
      <c r="M342" s="652"/>
      <c r="U342" s="649"/>
      <c r="V342" s="649"/>
      <c r="W342" s="649"/>
    </row>
    <row r="343" spans="1:23">
      <c r="A343" s="647"/>
      <c r="B343" s="648"/>
      <c r="C343" s="649"/>
      <c r="D343" s="649"/>
      <c r="I343" s="652"/>
      <c r="K343" s="652"/>
      <c r="M343" s="652"/>
      <c r="U343" s="649"/>
      <c r="V343" s="649"/>
      <c r="W343" s="649"/>
    </row>
    <row r="344" spans="1:23">
      <c r="A344" s="647"/>
      <c r="B344" s="648"/>
      <c r="C344" s="649"/>
      <c r="D344" s="649"/>
      <c r="I344" s="652"/>
      <c r="K344" s="652"/>
      <c r="M344" s="652"/>
      <c r="U344" s="649"/>
      <c r="V344" s="649"/>
      <c r="W344" s="649"/>
    </row>
    <row r="345" spans="1:23">
      <c r="A345" s="647"/>
      <c r="B345" s="648"/>
      <c r="C345" s="649"/>
      <c r="D345" s="649"/>
      <c r="I345" s="652"/>
      <c r="K345" s="652"/>
      <c r="M345" s="652"/>
      <c r="U345" s="649"/>
      <c r="V345" s="649"/>
      <c r="W345" s="649"/>
    </row>
    <row r="346" spans="1:23">
      <c r="A346" s="647"/>
      <c r="B346" s="648"/>
      <c r="C346" s="649"/>
      <c r="D346" s="649"/>
      <c r="I346" s="652"/>
      <c r="K346" s="652"/>
      <c r="M346" s="652"/>
      <c r="U346" s="649"/>
      <c r="V346" s="649"/>
      <c r="W346" s="649"/>
    </row>
    <row r="347" spans="1:23">
      <c r="A347" s="647"/>
      <c r="B347" s="648"/>
      <c r="C347" s="649"/>
      <c r="D347" s="649"/>
      <c r="I347" s="652"/>
      <c r="K347" s="652"/>
      <c r="M347" s="652"/>
      <c r="U347" s="649"/>
      <c r="V347" s="649"/>
      <c r="W347" s="649"/>
    </row>
    <row r="348" spans="1:23">
      <c r="A348" s="647"/>
      <c r="B348" s="648"/>
      <c r="C348" s="649"/>
      <c r="D348" s="649"/>
      <c r="I348" s="652"/>
      <c r="K348" s="652"/>
      <c r="M348" s="652"/>
      <c r="U348" s="649"/>
      <c r="V348" s="649"/>
      <c r="W348" s="649"/>
    </row>
    <row r="349" spans="1:23">
      <c r="A349" s="647"/>
      <c r="B349" s="648"/>
      <c r="C349" s="649"/>
      <c r="D349" s="649"/>
      <c r="I349" s="652"/>
      <c r="K349" s="652"/>
      <c r="M349" s="652"/>
      <c r="U349" s="649"/>
      <c r="V349" s="649"/>
      <c r="W349" s="649"/>
    </row>
    <row r="350" spans="1:23">
      <c r="A350" s="647"/>
      <c r="B350" s="648"/>
      <c r="C350" s="649"/>
      <c r="D350" s="649"/>
      <c r="I350" s="652"/>
      <c r="K350" s="652"/>
      <c r="M350" s="652"/>
      <c r="U350" s="649"/>
      <c r="V350" s="649"/>
      <c r="W350" s="649"/>
    </row>
    <row r="351" spans="1:23">
      <c r="A351" s="647"/>
      <c r="B351" s="648"/>
      <c r="C351" s="649"/>
      <c r="D351" s="649"/>
      <c r="I351" s="652"/>
      <c r="K351" s="652"/>
      <c r="M351" s="652"/>
      <c r="U351" s="649"/>
      <c r="V351" s="649"/>
      <c r="W351" s="649"/>
    </row>
    <row r="352" spans="1:23">
      <c r="A352" s="647"/>
      <c r="B352" s="648"/>
      <c r="C352" s="649"/>
      <c r="D352" s="649"/>
      <c r="I352" s="652"/>
      <c r="K352" s="652"/>
      <c r="M352" s="652"/>
      <c r="U352" s="649"/>
      <c r="V352" s="649"/>
      <c r="W352" s="649"/>
    </row>
    <row r="353" spans="1:23">
      <c r="A353" s="647"/>
      <c r="B353" s="648"/>
      <c r="C353" s="649"/>
      <c r="D353" s="649"/>
      <c r="I353" s="652"/>
      <c r="K353" s="652"/>
      <c r="M353" s="652"/>
      <c r="U353" s="649"/>
      <c r="V353" s="649"/>
      <c r="W353" s="649"/>
    </row>
    <row r="354" spans="1:23">
      <c r="A354" s="647"/>
      <c r="B354" s="648"/>
      <c r="C354" s="649"/>
      <c r="D354" s="649"/>
      <c r="I354" s="652"/>
      <c r="K354" s="652"/>
      <c r="M354" s="652"/>
      <c r="U354" s="649"/>
      <c r="V354" s="649"/>
      <c r="W354" s="649"/>
    </row>
    <row r="355" spans="1:23">
      <c r="A355" s="647"/>
      <c r="B355" s="648"/>
      <c r="C355" s="649"/>
      <c r="D355" s="649"/>
      <c r="I355" s="652"/>
      <c r="K355" s="652"/>
      <c r="M355" s="652"/>
      <c r="U355" s="649"/>
      <c r="V355" s="649"/>
      <c r="W355" s="649"/>
    </row>
    <row r="356" spans="1:23">
      <c r="A356" s="647"/>
      <c r="B356" s="648"/>
      <c r="C356" s="649"/>
      <c r="D356" s="649"/>
      <c r="I356" s="652"/>
      <c r="K356" s="652"/>
      <c r="M356" s="652"/>
      <c r="U356" s="649"/>
      <c r="V356" s="649"/>
      <c r="W356" s="649"/>
    </row>
    <row r="357" spans="1:23">
      <c r="A357" s="647"/>
      <c r="B357" s="648"/>
      <c r="C357" s="649"/>
      <c r="D357" s="649"/>
      <c r="I357" s="652"/>
      <c r="K357" s="652"/>
      <c r="M357" s="652"/>
      <c r="U357" s="649"/>
      <c r="V357" s="649"/>
      <c r="W357" s="649"/>
    </row>
    <row r="358" spans="1:23">
      <c r="A358" s="647"/>
      <c r="B358" s="648"/>
      <c r="C358" s="649"/>
      <c r="D358" s="649"/>
      <c r="I358" s="652"/>
      <c r="K358" s="652"/>
      <c r="M358" s="652"/>
      <c r="U358" s="649"/>
      <c r="V358" s="649"/>
      <c r="W358" s="649"/>
    </row>
    <row r="359" spans="1:23">
      <c r="A359" s="647"/>
      <c r="B359" s="648"/>
      <c r="C359" s="649"/>
      <c r="D359" s="649"/>
      <c r="I359" s="652"/>
      <c r="K359" s="652"/>
      <c r="M359" s="652"/>
      <c r="U359" s="649"/>
      <c r="V359" s="649"/>
      <c r="W359" s="649"/>
    </row>
    <row r="360" spans="1:23">
      <c r="A360" s="647"/>
      <c r="B360" s="648"/>
      <c r="C360" s="649"/>
      <c r="D360" s="649"/>
      <c r="I360" s="652"/>
      <c r="K360" s="652"/>
      <c r="M360" s="652"/>
      <c r="U360" s="649"/>
      <c r="V360" s="649"/>
      <c r="W360" s="649"/>
    </row>
    <row r="361" spans="1:23">
      <c r="A361" s="647"/>
      <c r="B361" s="648"/>
      <c r="C361" s="649"/>
      <c r="D361" s="649"/>
      <c r="I361" s="652"/>
      <c r="K361" s="652"/>
      <c r="M361" s="652"/>
      <c r="U361" s="649"/>
      <c r="V361" s="649"/>
      <c r="W361" s="649"/>
    </row>
    <row r="362" spans="1:23">
      <c r="A362" s="647"/>
      <c r="B362" s="648"/>
      <c r="C362" s="649"/>
      <c r="D362" s="649"/>
      <c r="I362" s="652"/>
      <c r="K362" s="652"/>
      <c r="M362" s="652"/>
      <c r="U362" s="649"/>
      <c r="V362" s="649"/>
      <c r="W362" s="649"/>
    </row>
    <row r="363" spans="1:23">
      <c r="A363" s="647"/>
      <c r="B363" s="648"/>
      <c r="C363" s="649"/>
      <c r="D363" s="649"/>
      <c r="I363" s="652"/>
      <c r="K363" s="652"/>
      <c r="M363" s="652"/>
      <c r="U363" s="649"/>
      <c r="V363" s="649"/>
      <c r="W363" s="649"/>
    </row>
    <row r="364" spans="1:23">
      <c r="A364" s="647"/>
      <c r="B364" s="648"/>
      <c r="C364" s="649"/>
      <c r="D364" s="649"/>
      <c r="I364" s="652"/>
      <c r="K364" s="652"/>
      <c r="M364" s="652"/>
      <c r="U364" s="649"/>
      <c r="V364" s="649"/>
      <c r="W364" s="649"/>
    </row>
    <row r="365" spans="1:23">
      <c r="A365" s="647"/>
      <c r="B365" s="648"/>
      <c r="C365" s="649"/>
      <c r="D365" s="649"/>
      <c r="I365" s="652"/>
      <c r="K365" s="652"/>
      <c r="M365" s="652"/>
      <c r="U365" s="649"/>
      <c r="V365" s="649"/>
      <c r="W365" s="649"/>
    </row>
    <row r="366" spans="1:23">
      <c r="A366" s="647"/>
      <c r="B366" s="648"/>
      <c r="C366" s="649"/>
      <c r="D366" s="649"/>
      <c r="I366" s="652"/>
      <c r="K366" s="652"/>
      <c r="M366" s="652"/>
      <c r="U366" s="649"/>
      <c r="V366" s="649"/>
      <c r="W366" s="649"/>
    </row>
    <row r="367" spans="1:23">
      <c r="A367" s="647"/>
      <c r="B367" s="648"/>
      <c r="C367" s="649"/>
      <c r="D367" s="649"/>
      <c r="I367" s="652"/>
      <c r="K367" s="652"/>
      <c r="M367" s="652"/>
      <c r="U367" s="649"/>
      <c r="V367" s="649"/>
      <c r="W367" s="649"/>
    </row>
    <row r="368" spans="1:23">
      <c r="A368" s="647"/>
      <c r="B368" s="648"/>
      <c r="C368" s="649"/>
      <c r="D368" s="649"/>
      <c r="I368" s="652"/>
      <c r="K368" s="652"/>
      <c r="M368" s="652"/>
      <c r="U368" s="649"/>
      <c r="V368" s="649"/>
      <c r="W368" s="649"/>
    </row>
    <row r="369" spans="1:23">
      <c r="A369" s="647"/>
      <c r="B369" s="648"/>
      <c r="C369" s="649"/>
      <c r="D369" s="649"/>
      <c r="I369" s="652"/>
      <c r="K369" s="652"/>
      <c r="M369" s="652"/>
      <c r="U369" s="649"/>
      <c r="V369" s="649"/>
      <c r="W369" s="649"/>
    </row>
    <row r="370" spans="1:23">
      <c r="A370" s="647"/>
      <c r="B370" s="648"/>
      <c r="C370" s="649"/>
      <c r="D370" s="649"/>
      <c r="I370" s="652"/>
      <c r="K370" s="652"/>
      <c r="M370" s="652"/>
      <c r="U370" s="649"/>
      <c r="V370" s="649"/>
      <c r="W370" s="649"/>
    </row>
    <row r="371" spans="1:23">
      <c r="A371" s="647"/>
      <c r="B371" s="648"/>
      <c r="C371" s="649"/>
      <c r="D371" s="649"/>
      <c r="I371" s="652"/>
      <c r="K371" s="652"/>
      <c r="M371" s="652"/>
      <c r="U371" s="649"/>
      <c r="V371" s="649"/>
      <c r="W371" s="649"/>
    </row>
    <row r="372" spans="1:23">
      <c r="A372" s="647"/>
      <c r="B372" s="648"/>
      <c r="C372" s="649"/>
      <c r="D372" s="649"/>
      <c r="I372" s="652"/>
      <c r="K372" s="652"/>
      <c r="M372" s="652"/>
      <c r="U372" s="649"/>
      <c r="V372" s="649"/>
      <c r="W372" s="649"/>
    </row>
    <row r="373" spans="1:23">
      <c r="A373" s="647"/>
      <c r="B373" s="648"/>
      <c r="C373" s="649"/>
      <c r="D373" s="649"/>
      <c r="I373" s="652"/>
      <c r="K373" s="652"/>
      <c r="M373" s="652"/>
      <c r="U373" s="649"/>
      <c r="V373" s="649"/>
      <c r="W373" s="649"/>
    </row>
    <row r="374" spans="1:23">
      <c r="A374" s="647"/>
      <c r="B374" s="648"/>
      <c r="C374" s="649"/>
      <c r="D374" s="649"/>
      <c r="I374" s="652"/>
      <c r="K374" s="652"/>
      <c r="M374" s="652"/>
      <c r="U374" s="649"/>
      <c r="V374" s="649"/>
      <c r="W374" s="649"/>
    </row>
    <row r="375" spans="1:23">
      <c r="A375" s="647"/>
      <c r="B375" s="648"/>
      <c r="C375" s="649"/>
      <c r="D375" s="649"/>
      <c r="I375" s="652"/>
      <c r="K375" s="652"/>
      <c r="M375" s="652"/>
      <c r="U375" s="649"/>
      <c r="V375" s="649"/>
      <c r="W375" s="649"/>
    </row>
    <row r="376" spans="1:23">
      <c r="A376" s="647"/>
      <c r="B376" s="648"/>
      <c r="C376" s="649"/>
      <c r="D376" s="649"/>
      <c r="I376" s="652"/>
      <c r="K376" s="652"/>
      <c r="M376" s="652"/>
      <c r="U376" s="649"/>
      <c r="V376" s="649"/>
      <c r="W376" s="649"/>
    </row>
    <row r="377" spans="1:23">
      <c r="A377" s="647"/>
      <c r="B377" s="648"/>
      <c r="C377" s="649"/>
      <c r="D377" s="649"/>
      <c r="I377" s="652"/>
      <c r="K377" s="652"/>
      <c r="M377" s="652"/>
      <c r="U377" s="649"/>
      <c r="V377" s="649"/>
      <c r="W377" s="649"/>
    </row>
    <row r="378" spans="1:23">
      <c r="A378" s="647"/>
      <c r="B378" s="648"/>
      <c r="C378" s="649"/>
      <c r="D378" s="649"/>
      <c r="I378" s="652"/>
      <c r="K378" s="652"/>
      <c r="M378" s="652"/>
      <c r="U378" s="649"/>
      <c r="V378" s="649"/>
      <c r="W378" s="649"/>
    </row>
    <row r="379" spans="1:23">
      <c r="A379" s="647"/>
      <c r="B379" s="648"/>
      <c r="C379" s="649"/>
      <c r="D379" s="649"/>
      <c r="I379" s="652"/>
      <c r="K379" s="652"/>
      <c r="M379" s="652"/>
      <c r="U379" s="649"/>
      <c r="V379" s="649"/>
      <c r="W379" s="649"/>
    </row>
    <row r="380" spans="1:23">
      <c r="A380" s="647"/>
      <c r="B380" s="648"/>
      <c r="C380" s="649"/>
      <c r="D380" s="649"/>
      <c r="I380" s="652"/>
      <c r="K380" s="652"/>
      <c r="M380" s="652"/>
      <c r="U380" s="649"/>
      <c r="V380" s="649"/>
      <c r="W380" s="649"/>
    </row>
    <row r="381" spans="1:23">
      <c r="A381" s="647"/>
      <c r="B381" s="648"/>
      <c r="C381" s="649"/>
      <c r="D381" s="649"/>
      <c r="I381" s="652"/>
      <c r="K381" s="652"/>
      <c r="M381" s="652"/>
      <c r="U381" s="649"/>
      <c r="V381" s="649"/>
      <c r="W381" s="649"/>
    </row>
    <row r="382" spans="1:23">
      <c r="A382" s="647"/>
      <c r="B382" s="648"/>
      <c r="C382" s="649"/>
      <c r="D382" s="649"/>
      <c r="I382" s="652"/>
      <c r="K382" s="652"/>
      <c r="M382" s="652"/>
      <c r="U382" s="649"/>
      <c r="V382" s="649"/>
      <c r="W382" s="649"/>
    </row>
    <row r="383" spans="1:23">
      <c r="A383" s="647"/>
      <c r="B383" s="648"/>
      <c r="C383" s="649"/>
      <c r="D383" s="649"/>
      <c r="I383" s="652"/>
      <c r="K383" s="652"/>
      <c r="M383" s="652"/>
      <c r="U383" s="649"/>
      <c r="V383" s="649"/>
      <c r="W383" s="649"/>
    </row>
    <row r="384" spans="1:23">
      <c r="A384" s="647"/>
      <c r="B384" s="648"/>
      <c r="C384" s="649"/>
      <c r="D384" s="649"/>
      <c r="I384" s="652"/>
      <c r="K384" s="652"/>
      <c r="M384" s="652"/>
      <c r="U384" s="649"/>
      <c r="V384" s="649"/>
      <c r="W384" s="649"/>
    </row>
    <row r="385" spans="1:23">
      <c r="A385" s="647"/>
      <c r="B385" s="648"/>
      <c r="C385" s="649"/>
      <c r="D385" s="649"/>
      <c r="I385" s="652"/>
      <c r="K385" s="652"/>
      <c r="M385" s="652"/>
      <c r="U385" s="649"/>
      <c r="V385" s="649"/>
      <c r="W385" s="649"/>
    </row>
    <row r="386" spans="1:23">
      <c r="A386" s="647"/>
      <c r="B386" s="648"/>
      <c r="C386" s="649"/>
      <c r="D386" s="649"/>
      <c r="I386" s="652"/>
      <c r="K386" s="652"/>
      <c r="M386" s="652"/>
      <c r="U386" s="649"/>
      <c r="V386" s="649"/>
      <c r="W386" s="649"/>
    </row>
    <row r="387" spans="1:23">
      <c r="A387" s="647"/>
      <c r="B387" s="648"/>
      <c r="C387" s="649"/>
      <c r="D387" s="649"/>
      <c r="I387" s="652"/>
      <c r="K387" s="652"/>
      <c r="M387" s="652"/>
      <c r="U387" s="649"/>
      <c r="V387" s="649"/>
      <c r="W387" s="649"/>
    </row>
    <row r="388" spans="1:23">
      <c r="A388" s="647"/>
      <c r="B388" s="648"/>
      <c r="C388" s="649"/>
      <c r="D388" s="649"/>
      <c r="I388" s="652"/>
      <c r="K388" s="652"/>
      <c r="M388" s="652"/>
      <c r="U388" s="649"/>
      <c r="V388" s="649"/>
      <c r="W388" s="649"/>
    </row>
    <row r="389" spans="1:23">
      <c r="A389" s="647"/>
      <c r="B389" s="648"/>
      <c r="C389" s="649"/>
      <c r="D389" s="649"/>
      <c r="I389" s="652"/>
      <c r="K389" s="652"/>
      <c r="M389" s="652"/>
      <c r="U389" s="649"/>
      <c r="V389" s="649"/>
      <c r="W389" s="649"/>
    </row>
    <row r="390" spans="1:23">
      <c r="A390" s="647"/>
      <c r="B390" s="648"/>
      <c r="C390" s="649"/>
      <c r="D390" s="649"/>
      <c r="I390" s="652"/>
      <c r="K390" s="652"/>
      <c r="M390" s="652"/>
      <c r="U390" s="649"/>
      <c r="V390" s="649"/>
      <c r="W390" s="649"/>
    </row>
    <row r="391" spans="1:23">
      <c r="A391" s="647"/>
      <c r="B391" s="648"/>
      <c r="C391" s="649"/>
      <c r="D391" s="649"/>
      <c r="I391" s="652"/>
      <c r="K391" s="652"/>
      <c r="M391" s="652"/>
      <c r="U391" s="649"/>
      <c r="V391" s="649"/>
      <c r="W391" s="649"/>
    </row>
    <row r="392" spans="1:23">
      <c r="A392" s="647"/>
      <c r="B392" s="648"/>
      <c r="C392" s="649"/>
      <c r="D392" s="649"/>
      <c r="I392" s="652"/>
      <c r="K392" s="652"/>
      <c r="M392" s="652"/>
      <c r="U392" s="649"/>
      <c r="V392" s="649"/>
      <c r="W392" s="649"/>
    </row>
    <row r="393" spans="1:23">
      <c r="A393" s="647"/>
      <c r="B393" s="648"/>
      <c r="C393" s="649"/>
      <c r="D393" s="649"/>
      <c r="I393" s="652"/>
      <c r="K393" s="652"/>
      <c r="M393" s="652"/>
      <c r="U393" s="649"/>
      <c r="V393" s="649"/>
      <c r="W393" s="649"/>
    </row>
    <row r="394" spans="1:23">
      <c r="A394" s="647"/>
      <c r="B394" s="648"/>
      <c r="C394" s="649"/>
      <c r="D394" s="649"/>
      <c r="I394" s="652"/>
      <c r="K394" s="652"/>
      <c r="M394" s="652"/>
      <c r="U394" s="649"/>
      <c r="V394" s="649"/>
      <c r="W394" s="649"/>
    </row>
    <row r="395" spans="1:23">
      <c r="A395" s="647"/>
      <c r="B395" s="648"/>
      <c r="C395" s="649"/>
      <c r="D395" s="649"/>
      <c r="I395" s="652"/>
      <c r="K395" s="652"/>
      <c r="M395" s="652"/>
      <c r="U395" s="649"/>
      <c r="V395" s="649"/>
      <c r="W395" s="649"/>
    </row>
    <row r="396" spans="1:23">
      <c r="A396" s="647"/>
      <c r="B396" s="648"/>
      <c r="C396" s="649"/>
      <c r="D396" s="649"/>
      <c r="I396" s="652"/>
      <c r="K396" s="652"/>
      <c r="M396" s="652"/>
      <c r="U396" s="649"/>
      <c r="V396" s="649"/>
      <c r="W396" s="649"/>
    </row>
    <row r="397" spans="1:23">
      <c r="A397" s="647"/>
      <c r="B397" s="648"/>
      <c r="C397" s="649"/>
      <c r="D397" s="649"/>
      <c r="I397" s="652"/>
      <c r="K397" s="652"/>
      <c r="M397" s="652"/>
      <c r="U397" s="649"/>
      <c r="V397" s="649"/>
      <c r="W397" s="649"/>
    </row>
    <row r="398" spans="1:23">
      <c r="A398" s="647"/>
      <c r="B398" s="648"/>
      <c r="C398" s="649"/>
      <c r="D398" s="649"/>
      <c r="I398" s="652"/>
      <c r="K398" s="652"/>
      <c r="M398" s="652"/>
      <c r="U398" s="649"/>
      <c r="V398" s="649"/>
      <c r="W398" s="649"/>
    </row>
    <row r="399" spans="1:23">
      <c r="A399" s="647"/>
      <c r="B399" s="648"/>
      <c r="C399" s="649"/>
      <c r="D399" s="649"/>
      <c r="I399" s="652"/>
      <c r="K399" s="652"/>
      <c r="M399" s="652"/>
      <c r="U399" s="649"/>
      <c r="V399" s="649"/>
      <c r="W399" s="649"/>
    </row>
    <row r="400" spans="1:23">
      <c r="A400" s="647"/>
      <c r="B400" s="648"/>
      <c r="C400" s="649"/>
      <c r="D400" s="649"/>
      <c r="I400" s="652"/>
      <c r="K400" s="652"/>
      <c r="M400" s="652"/>
      <c r="U400" s="649"/>
      <c r="V400" s="649"/>
      <c r="W400" s="649"/>
    </row>
    <row r="401" spans="1:23">
      <c r="A401" s="647"/>
      <c r="B401" s="648"/>
      <c r="C401" s="649"/>
      <c r="D401" s="649"/>
      <c r="I401" s="652"/>
      <c r="K401" s="652"/>
      <c r="M401" s="652"/>
      <c r="U401" s="649"/>
      <c r="V401" s="649"/>
      <c r="W401" s="649"/>
    </row>
    <row r="402" spans="1:23">
      <c r="A402" s="647"/>
      <c r="B402" s="648"/>
      <c r="C402" s="649"/>
      <c r="D402" s="649"/>
      <c r="I402" s="652"/>
      <c r="K402" s="652"/>
      <c r="M402" s="652"/>
      <c r="U402" s="649"/>
      <c r="V402" s="649"/>
      <c r="W402" s="649"/>
    </row>
    <row r="403" spans="1:23">
      <c r="A403" s="647"/>
      <c r="B403" s="648"/>
      <c r="C403" s="649"/>
      <c r="D403" s="649"/>
      <c r="I403" s="652"/>
      <c r="K403" s="652"/>
      <c r="M403" s="652"/>
      <c r="U403" s="649"/>
      <c r="V403" s="649"/>
      <c r="W403" s="649"/>
    </row>
    <row r="404" spans="1:23">
      <c r="A404" s="647"/>
      <c r="B404" s="648"/>
      <c r="C404" s="649"/>
      <c r="D404" s="649"/>
      <c r="I404" s="652"/>
      <c r="K404" s="652"/>
      <c r="M404" s="652"/>
      <c r="U404" s="649"/>
      <c r="V404" s="649"/>
      <c r="W404" s="649"/>
    </row>
    <row r="405" spans="1:23">
      <c r="A405" s="647"/>
      <c r="B405" s="648"/>
      <c r="C405" s="649"/>
      <c r="D405" s="649"/>
      <c r="I405" s="652"/>
      <c r="K405" s="652"/>
      <c r="M405" s="652"/>
      <c r="U405" s="649"/>
      <c r="V405" s="649"/>
      <c r="W405" s="649"/>
    </row>
    <row r="406" spans="1:23">
      <c r="A406" s="647"/>
      <c r="B406" s="648"/>
      <c r="C406" s="649"/>
      <c r="D406" s="649"/>
      <c r="I406" s="652"/>
      <c r="K406" s="652"/>
      <c r="M406" s="652"/>
      <c r="U406" s="649"/>
      <c r="V406" s="649"/>
      <c r="W406" s="649"/>
    </row>
    <row r="407" spans="1:23">
      <c r="A407" s="647"/>
      <c r="B407" s="648"/>
      <c r="C407" s="649"/>
      <c r="D407" s="649"/>
      <c r="I407" s="652"/>
      <c r="K407" s="652"/>
      <c r="M407" s="652"/>
      <c r="U407" s="649"/>
      <c r="V407" s="649"/>
      <c r="W407" s="649"/>
    </row>
    <row r="408" spans="1:23">
      <c r="A408" s="647"/>
      <c r="B408" s="648"/>
      <c r="C408" s="649"/>
      <c r="D408" s="649"/>
      <c r="I408" s="652"/>
      <c r="K408" s="652"/>
      <c r="M408" s="652"/>
      <c r="U408" s="649"/>
      <c r="V408" s="649"/>
      <c r="W408" s="649"/>
    </row>
    <row r="409" spans="1:23">
      <c r="A409" s="647"/>
      <c r="B409" s="648"/>
      <c r="C409" s="649"/>
      <c r="D409" s="649"/>
      <c r="I409" s="652"/>
      <c r="K409" s="652"/>
      <c r="M409" s="652"/>
      <c r="U409" s="649"/>
      <c r="V409" s="649"/>
      <c r="W409" s="649"/>
    </row>
    <row r="410" spans="1:23">
      <c r="A410" s="647"/>
      <c r="B410" s="648"/>
      <c r="C410" s="649"/>
      <c r="D410" s="649"/>
      <c r="I410" s="652"/>
      <c r="K410" s="652"/>
      <c r="M410" s="652"/>
      <c r="U410" s="649"/>
      <c r="V410" s="649"/>
      <c r="W410" s="649"/>
    </row>
    <row r="411" spans="1:23">
      <c r="A411" s="647"/>
      <c r="B411" s="648"/>
      <c r="C411" s="649"/>
      <c r="D411" s="649"/>
      <c r="I411" s="652"/>
      <c r="K411" s="652"/>
      <c r="M411" s="652"/>
      <c r="U411" s="649"/>
      <c r="V411" s="649"/>
      <c r="W411" s="649"/>
    </row>
    <row r="412" spans="1:23">
      <c r="A412" s="647"/>
      <c r="B412" s="648"/>
      <c r="C412" s="649"/>
      <c r="D412" s="649"/>
      <c r="I412" s="652"/>
      <c r="K412" s="652"/>
      <c r="M412" s="652"/>
      <c r="U412" s="649"/>
      <c r="V412" s="649"/>
      <c r="W412" s="649"/>
    </row>
    <row r="413" spans="1:23">
      <c r="A413" s="647"/>
      <c r="B413" s="648"/>
      <c r="C413" s="649"/>
      <c r="D413" s="649"/>
      <c r="I413" s="652"/>
      <c r="K413" s="652"/>
      <c r="M413" s="652"/>
      <c r="U413" s="649"/>
      <c r="V413" s="649"/>
      <c r="W413" s="649"/>
    </row>
    <row r="414" spans="1:23">
      <c r="A414" s="647"/>
      <c r="B414" s="648"/>
      <c r="C414" s="649"/>
      <c r="D414" s="649"/>
      <c r="I414" s="652"/>
      <c r="K414" s="652"/>
      <c r="M414" s="652"/>
      <c r="U414" s="649"/>
      <c r="V414" s="649"/>
      <c r="W414" s="649"/>
    </row>
    <row r="415" spans="1:23">
      <c r="A415" s="647"/>
      <c r="B415" s="648"/>
      <c r="C415" s="649"/>
      <c r="D415" s="649"/>
      <c r="I415" s="652"/>
      <c r="K415" s="652"/>
      <c r="M415" s="652"/>
      <c r="U415" s="649"/>
      <c r="V415" s="649"/>
      <c r="W415" s="649"/>
    </row>
    <row r="416" spans="1:23">
      <c r="A416" s="647"/>
      <c r="B416" s="648"/>
      <c r="C416" s="649"/>
      <c r="D416" s="649"/>
      <c r="I416" s="652"/>
      <c r="K416" s="652"/>
      <c r="M416" s="652"/>
      <c r="U416" s="649"/>
      <c r="V416" s="649"/>
      <c r="W416" s="649"/>
    </row>
    <row r="417" spans="1:23">
      <c r="A417" s="647"/>
      <c r="B417" s="648"/>
      <c r="C417" s="649"/>
      <c r="D417" s="649"/>
      <c r="I417" s="652"/>
      <c r="K417" s="652"/>
      <c r="M417" s="652"/>
      <c r="U417" s="649"/>
      <c r="V417" s="649"/>
      <c r="W417" s="649"/>
    </row>
    <row r="418" spans="1:23">
      <c r="A418" s="647"/>
      <c r="B418" s="648"/>
      <c r="C418" s="649"/>
      <c r="D418" s="649"/>
      <c r="I418" s="652"/>
      <c r="K418" s="652"/>
      <c r="M418" s="652"/>
      <c r="U418" s="649"/>
      <c r="V418" s="649"/>
      <c r="W418" s="649"/>
    </row>
    <row r="419" spans="1:23">
      <c r="A419" s="647"/>
      <c r="B419" s="648"/>
      <c r="C419" s="649"/>
      <c r="D419" s="649"/>
      <c r="I419" s="652"/>
      <c r="K419" s="652"/>
      <c r="M419" s="652"/>
      <c r="U419" s="649"/>
      <c r="V419" s="649"/>
      <c r="W419" s="649"/>
    </row>
    <row r="420" spans="1:23">
      <c r="A420" s="647"/>
      <c r="B420" s="648"/>
      <c r="C420" s="649"/>
      <c r="D420" s="649"/>
      <c r="I420" s="652"/>
      <c r="K420" s="652"/>
      <c r="M420" s="652"/>
      <c r="U420" s="649"/>
      <c r="V420" s="649"/>
      <c r="W420" s="649"/>
    </row>
    <row r="421" spans="1:23">
      <c r="A421" s="647"/>
      <c r="B421" s="648"/>
      <c r="C421" s="649"/>
      <c r="D421" s="649"/>
      <c r="I421" s="652"/>
      <c r="K421" s="652"/>
      <c r="M421" s="652"/>
      <c r="U421" s="649"/>
      <c r="V421" s="649"/>
      <c r="W421" s="649"/>
    </row>
    <row r="422" spans="1:23">
      <c r="A422" s="647"/>
      <c r="B422" s="648"/>
      <c r="C422" s="649"/>
      <c r="D422" s="649"/>
      <c r="I422" s="652"/>
      <c r="K422" s="652"/>
      <c r="M422" s="652"/>
      <c r="U422" s="649"/>
      <c r="V422" s="649"/>
      <c r="W422" s="649"/>
    </row>
    <row r="423" spans="1:23">
      <c r="A423" s="647"/>
      <c r="B423" s="648"/>
      <c r="C423" s="649"/>
      <c r="D423" s="649"/>
      <c r="I423" s="652"/>
      <c r="K423" s="652"/>
      <c r="M423" s="652"/>
      <c r="U423" s="649"/>
      <c r="V423" s="649"/>
      <c r="W423" s="649"/>
    </row>
    <row r="424" spans="1:23">
      <c r="A424" s="647"/>
      <c r="B424" s="648"/>
      <c r="C424" s="649"/>
      <c r="D424" s="649"/>
      <c r="I424" s="652"/>
      <c r="K424" s="652"/>
      <c r="M424" s="652"/>
      <c r="U424" s="649"/>
      <c r="V424" s="649"/>
      <c r="W424" s="649"/>
    </row>
    <row r="425" spans="1:23">
      <c r="A425" s="647"/>
      <c r="B425" s="648"/>
      <c r="C425" s="649"/>
      <c r="D425" s="649"/>
      <c r="I425" s="652"/>
      <c r="K425" s="652"/>
      <c r="M425" s="652"/>
      <c r="U425" s="649"/>
      <c r="V425" s="649"/>
      <c r="W425" s="649"/>
    </row>
    <row r="426" spans="1:23">
      <c r="A426" s="647"/>
      <c r="B426" s="648"/>
      <c r="C426" s="649"/>
      <c r="D426" s="649"/>
      <c r="I426" s="652"/>
      <c r="K426" s="652"/>
      <c r="M426" s="652"/>
      <c r="U426" s="649"/>
      <c r="V426" s="649"/>
      <c r="W426" s="649"/>
    </row>
    <row r="427" spans="1:23">
      <c r="A427" s="647"/>
      <c r="B427" s="648"/>
      <c r="C427" s="649"/>
      <c r="D427" s="649"/>
      <c r="I427" s="652"/>
      <c r="K427" s="652"/>
      <c r="M427" s="652"/>
      <c r="U427" s="649"/>
      <c r="V427" s="649"/>
      <c r="W427" s="649"/>
    </row>
    <row r="428" spans="1:23">
      <c r="A428" s="647"/>
      <c r="B428" s="648"/>
      <c r="C428" s="649"/>
      <c r="D428" s="649"/>
      <c r="I428" s="652"/>
      <c r="K428" s="652"/>
      <c r="M428" s="652"/>
      <c r="U428" s="649"/>
      <c r="V428" s="649"/>
      <c r="W428" s="649"/>
    </row>
    <row r="429" spans="1:23">
      <c r="A429" s="647"/>
      <c r="B429" s="648"/>
      <c r="C429" s="649"/>
      <c r="D429" s="649"/>
      <c r="I429" s="652"/>
      <c r="K429" s="652"/>
      <c r="M429" s="652"/>
      <c r="U429" s="649"/>
      <c r="V429" s="649"/>
      <c r="W429" s="649"/>
    </row>
    <row r="430" spans="1:23">
      <c r="A430" s="647"/>
      <c r="B430" s="648"/>
      <c r="C430" s="649"/>
      <c r="D430" s="649"/>
      <c r="I430" s="652"/>
      <c r="K430" s="652"/>
      <c r="M430" s="652"/>
      <c r="U430" s="649"/>
      <c r="V430" s="649"/>
      <c r="W430" s="649"/>
    </row>
    <row r="431" spans="1:23">
      <c r="A431" s="647"/>
      <c r="B431" s="648"/>
      <c r="C431" s="649"/>
      <c r="D431" s="649"/>
      <c r="I431" s="652"/>
      <c r="K431" s="652"/>
      <c r="M431" s="652"/>
      <c r="U431" s="649"/>
      <c r="V431" s="649"/>
      <c r="W431" s="649"/>
    </row>
    <row r="432" spans="1:23">
      <c r="A432" s="647"/>
      <c r="B432" s="648"/>
      <c r="C432" s="649"/>
      <c r="D432" s="649"/>
      <c r="I432" s="652"/>
      <c r="K432" s="652"/>
      <c r="M432" s="652"/>
      <c r="U432" s="649"/>
      <c r="V432" s="649"/>
      <c r="W432" s="649"/>
    </row>
    <row r="433" spans="1:23">
      <c r="A433" s="647"/>
      <c r="B433" s="648"/>
      <c r="C433" s="649"/>
      <c r="D433" s="649"/>
      <c r="I433" s="652"/>
      <c r="K433" s="652"/>
      <c r="M433" s="652"/>
      <c r="U433" s="649"/>
      <c r="V433" s="649"/>
      <c r="W433" s="649"/>
    </row>
    <row r="434" spans="1:23">
      <c r="A434" s="647"/>
      <c r="B434" s="648"/>
      <c r="C434" s="649"/>
      <c r="D434" s="649"/>
      <c r="I434" s="652"/>
      <c r="K434" s="652"/>
      <c r="M434" s="652"/>
      <c r="U434" s="649"/>
      <c r="V434" s="649"/>
      <c r="W434" s="649"/>
    </row>
    <row r="435" spans="1:23">
      <c r="A435" s="647"/>
      <c r="B435" s="648"/>
      <c r="C435" s="649"/>
      <c r="D435" s="649"/>
      <c r="I435" s="652"/>
      <c r="K435" s="652"/>
      <c r="M435" s="652"/>
      <c r="U435" s="649"/>
      <c r="V435" s="649"/>
      <c r="W435" s="649"/>
    </row>
    <row r="436" spans="1:23">
      <c r="A436" s="647"/>
      <c r="B436" s="648"/>
      <c r="C436" s="649"/>
      <c r="D436" s="649"/>
      <c r="I436" s="652"/>
      <c r="K436" s="652"/>
      <c r="M436" s="652"/>
      <c r="U436" s="649"/>
      <c r="V436" s="649"/>
      <c r="W436" s="649"/>
    </row>
    <row r="437" spans="1:23">
      <c r="A437" s="647"/>
      <c r="B437" s="648"/>
      <c r="C437" s="649"/>
      <c r="D437" s="649"/>
      <c r="I437" s="652"/>
      <c r="K437" s="652"/>
      <c r="M437" s="652"/>
      <c r="U437" s="649"/>
      <c r="V437" s="649"/>
      <c r="W437" s="649"/>
    </row>
    <row r="438" spans="1:23">
      <c r="A438" s="647"/>
      <c r="B438" s="648"/>
      <c r="C438" s="649"/>
      <c r="D438" s="649"/>
      <c r="I438" s="652"/>
      <c r="K438" s="652"/>
      <c r="M438" s="652"/>
      <c r="U438" s="649"/>
      <c r="V438" s="649"/>
      <c r="W438" s="649"/>
    </row>
    <row r="439" spans="1:23">
      <c r="A439" s="647"/>
      <c r="B439" s="648"/>
      <c r="C439" s="649"/>
      <c r="D439" s="649"/>
      <c r="I439" s="652"/>
      <c r="K439" s="652"/>
      <c r="M439" s="652"/>
      <c r="U439" s="649"/>
      <c r="V439" s="649"/>
      <c r="W439" s="649"/>
    </row>
    <row r="440" spans="1:23">
      <c r="A440" s="647"/>
      <c r="B440" s="648"/>
      <c r="C440" s="649"/>
      <c r="D440" s="649"/>
      <c r="I440" s="652"/>
      <c r="K440" s="652"/>
      <c r="M440" s="652"/>
      <c r="U440" s="649"/>
      <c r="V440" s="649"/>
      <c r="W440" s="649"/>
    </row>
    <row r="441" spans="1:23">
      <c r="A441" s="647"/>
      <c r="B441" s="648"/>
      <c r="C441" s="649"/>
      <c r="D441" s="649"/>
      <c r="I441" s="652"/>
      <c r="K441" s="652"/>
      <c r="M441" s="652"/>
      <c r="U441" s="649"/>
      <c r="V441" s="649"/>
      <c r="W441" s="649"/>
    </row>
    <row r="442" spans="1:23">
      <c r="A442" s="647"/>
      <c r="B442" s="648"/>
      <c r="C442" s="649"/>
      <c r="D442" s="649"/>
      <c r="I442" s="652"/>
      <c r="K442" s="652"/>
      <c r="M442" s="652"/>
      <c r="U442" s="649"/>
      <c r="V442" s="649"/>
      <c r="W442" s="649"/>
    </row>
    <row r="443" spans="1:23">
      <c r="A443" s="647"/>
      <c r="B443" s="648"/>
      <c r="C443" s="649"/>
      <c r="D443" s="649"/>
      <c r="I443" s="652"/>
      <c r="K443" s="652"/>
      <c r="M443" s="652"/>
      <c r="U443" s="649"/>
      <c r="V443" s="649"/>
      <c r="W443" s="649"/>
    </row>
    <row r="444" spans="1:23">
      <c r="A444" s="647"/>
      <c r="B444" s="648"/>
      <c r="C444" s="649"/>
      <c r="D444" s="649"/>
      <c r="I444" s="652"/>
      <c r="K444" s="652"/>
      <c r="M444" s="652"/>
      <c r="U444" s="649"/>
      <c r="V444" s="649"/>
      <c r="W444" s="649"/>
    </row>
    <row r="445" spans="1:23">
      <c r="A445" s="647"/>
      <c r="B445" s="648"/>
      <c r="C445" s="649"/>
      <c r="D445" s="649"/>
      <c r="I445" s="652"/>
      <c r="K445" s="652"/>
      <c r="M445" s="652"/>
      <c r="U445" s="649"/>
      <c r="V445" s="649"/>
      <c r="W445" s="649"/>
    </row>
    <row r="446" spans="1:23">
      <c r="A446" s="647"/>
      <c r="B446" s="648"/>
      <c r="C446" s="649"/>
      <c r="D446" s="649"/>
      <c r="I446" s="652"/>
      <c r="K446" s="652"/>
      <c r="M446" s="652"/>
      <c r="U446" s="649"/>
      <c r="V446" s="649"/>
      <c r="W446" s="649"/>
    </row>
    <row r="447" spans="1:23">
      <c r="A447" s="647"/>
      <c r="B447" s="648"/>
      <c r="C447" s="649"/>
      <c r="D447" s="649"/>
      <c r="I447" s="652"/>
      <c r="K447" s="652"/>
      <c r="M447" s="652"/>
      <c r="U447" s="649"/>
      <c r="V447" s="649"/>
      <c r="W447" s="649"/>
    </row>
    <row r="448" spans="1:23">
      <c r="A448" s="647"/>
      <c r="B448" s="648"/>
      <c r="C448" s="649"/>
      <c r="D448" s="649"/>
      <c r="I448" s="652"/>
      <c r="K448" s="652"/>
      <c r="M448" s="652"/>
      <c r="U448" s="649"/>
      <c r="V448" s="649"/>
      <c r="W448" s="649"/>
    </row>
    <row r="449" spans="1:23">
      <c r="A449" s="647"/>
      <c r="B449" s="648"/>
      <c r="C449" s="649"/>
      <c r="D449" s="649"/>
      <c r="I449" s="652"/>
      <c r="K449" s="652"/>
      <c r="M449" s="652"/>
      <c r="U449" s="649"/>
      <c r="V449" s="649"/>
      <c r="W449" s="649"/>
    </row>
    <row r="450" spans="1:23">
      <c r="A450" s="647"/>
      <c r="B450" s="648"/>
      <c r="C450" s="649"/>
      <c r="D450" s="649"/>
      <c r="I450" s="652"/>
      <c r="K450" s="652"/>
      <c r="M450" s="652"/>
      <c r="U450" s="649"/>
      <c r="V450" s="649"/>
      <c r="W450" s="649"/>
    </row>
    <row r="451" spans="1:23">
      <c r="A451" s="647"/>
      <c r="B451" s="648"/>
      <c r="C451" s="649"/>
      <c r="D451" s="649"/>
      <c r="I451" s="652"/>
      <c r="K451" s="652"/>
      <c r="M451" s="652"/>
      <c r="U451" s="649"/>
      <c r="V451" s="649"/>
      <c r="W451" s="649"/>
    </row>
    <row r="452" spans="1:23">
      <c r="A452" s="647"/>
      <c r="B452" s="648"/>
      <c r="C452" s="649"/>
      <c r="D452" s="649"/>
      <c r="I452" s="652"/>
      <c r="K452" s="652"/>
      <c r="M452" s="652"/>
      <c r="U452" s="649"/>
      <c r="V452" s="649"/>
      <c r="W452" s="649"/>
    </row>
    <row r="453" spans="1:23">
      <c r="A453" s="647"/>
      <c r="B453" s="648"/>
      <c r="C453" s="649"/>
      <c r="D453" s="649"/>
      <c r="I453" s="652"/>
      <c r="K453" s="652"/>
      <c r="M453" s="652"/>
      <c r="U453" s="649"/>
      <c r="V453" s="649"/>
      <c r="W453" s="649"/>
    </row>
    <row r="454" spans="1:23">
      <c r="A454" s="647"/>
      <c r="B454" s="648"/>
      <c r="C454" s="649"/>
      <c r="D454" s="649"/>
      <c r="I454" s="652"/>
      <c r="K454" s="652"/>
      <c r="M454" s="652"/>
      <c r="U454" s="649"/>
      <c r="V454" s="649"/>
      <c r="W454" s="649"/>
    </row>
    <row r="455" spans="1:23">
      <c r="A455" s="647"/>
      <c r="B455" s="648"/>
      <c r="C455" s="649"/>
      <c r="D455" s="649"/>
      <c r="I455" s="652"/>
      <c r="K455" s="652"/>
      <c r="M455" s="652"/>
      <c r="U455" s="649"/>
      <c r="V455" s="649"/>
      <c r="W455" s="649"/>
    </row>
    <row r="456" spans="1:23">
      <c r="A456" s="647"/>
      <c r="B456" s="648"/>
      <c r="C456" s="649"/>
      <c r="D456" s="649"/>
      <c r="I456" s="652"/>
      <c r="K456" s="652"/>
      <c r="M456" s="652"/>
      <c r="U456" s="649"/>
      <c r="V456" s="649"/>
      <c r="W456" s="649"/>
    </row>
    <row r="457" spans="1:23">
      <c r="A457" s="647"/>
      <c r="B457" s="648"/>
      <c r="C457" s="649"/>
      <c r="D457" s="649"/>
      <c r="I457" s="652"/>
      <c r="K457" s="652"/>
      <c r="M457" s="652"/>
      <c r="U457" s="649"/>
      <c r="V457" s="649"/>
      <c r="W457" s="649"/>
    </row>
    <row r="458" spans="1:23">
      <c r="A458" s="647"/>
      <c r="B458" s="648"/>
      <c r="C458" s="649"/>
      <c r="D458" s="649"/>
      <c r="I458" s="652"/>
      <c r="K458" s="652"/>
      <c r="M458" s="652"/>
      <c r="U458" s="649"/>
      <c r="V458" s="649"/>
      <c r="W458" s="649"/>
    </row>
    <row r="459" spans="1:23">
      <c r="A459" s="647"/>
      <c r="B459" s="648"/>
      <c r="C459" s="649"/>
      <c r="D459" s="649"/>
      <c r="I459" s="652"/>
      <c r="K459" s="652"/>
      <c r="M459" s="652"/>
      <c r="U459" s="649"/>
      <c r="V459" s="649"/>
      <c r="W459" s="649"/>
    </row>
    <row r="460" spans="1:23">
      <c r="A460" s="647"/>
      <c r="B460" s="648"/>
      <c r="C460" s="649"/>
      <c r="D460" s="649"/>
      <c r="I460" s="652"/>
      <c r="K460" s="652"/>
      <c r="M460" s="652"/>
      <c r="U460" s="649"/>
      <c r="V460" s="649"/>
      <c r="W460" s="649"/>
    </row>
    <row r="461" spans="1:23">
      <c r="A461" s="647"/>
      <c r="B461" s="648"/>
      <c r="C461" s="649"/>
      <c r="D461" s="649"/>
      <c r="I461" s="652"/>
      <c r="K461" s="652"/>
      <c r="M461" s="652"/>
      <c r="U461" s="649"/>
      <c r="V461" s="649"/>
      <c r="W461" s="649"/>
    </row>
    <row r="462" spans="1:23">
      <c r="A462" s="647"/>
      <c r="B462" s="648"/>
      <c r="C462" s="649"/>
      <c r="D462" s="649"/>
      <c r="I462" s="652"/>
      <c r="K462" s="652"/>
      <c r="M462" s="652"/>
      <c r="U462" s="649"/>
      <c r="V462" s="649"/>
      <c r="W462" s="649"/>
    </row>
    <row r="463" spans="1:23">
      <c r="A463" s="647"/>
      <c r="B463" s="648"/>
      <c r="C463" s="649"/>
      <c r="D463" s="649"/>
      <c r="I463" s="652"/>
      <c r="K463" s="652"/>
      <c r="M463" s="652"/>
      <c r="U463" s="649"/>
      <c r="V463" s="649"/>
      <c r="W463" s="649"/>
    </row>
    <row r="464" spans="1:23">
      <c r="A464" s="647"/>
      <c r="B464" s="648"/>
      <c r="C464" s="649"/>
      <c r="D464" s="649"/>
      <c r="I464" s="652"/>
      <c r="K464" s="652"/>
      <c r="M464" s="652"/>
      <c r="U464" s="649"/>
      <c r="V464" s="649"/>
      <c r="W464" s="649"/>
    </row>
    <row r="465" spans="1:23">
      <c r="A465" s="647"/>
      <c r="B465" s="648"/>
      <c r="C465" s="649"/>
      <c r="D465" s="649"/>
      <c r="I465" s="652"/>
      <c r="K465" s="652"/>
      <c r="M465" s="652"/>
      <c r="U465" s="649"/>
      <c r="V465" s="649"/>
      <c r="W465" s="649"/>
    </row>
    <row r="466" spans="1:23">
      <c r="A466" s="647"/>
      <c r="B466" s="648"/>
      <c r="C466" s="649"/>
      <c r="D466" s="649"/>
      <c r="I466" s="652"/>
      <c r="K466" s="652"/>
      <c r="M466" s="652"/>
      <c r="U466" s="649"/>
      <c r="V466" s="649"/>
      <c r="W466" s="649"/>
    </row>
    <row r="467" spans="1:23">
      <c r="A467" s="647"/>
      <c r="B467" s="648"/>
      <c r="C467" s="649"/>
      <c r="D467" s="649"/>
      <c r="I467" s="652"/>
      <c r="K467" s="652"/>
      <c r="M467" s="652"/>
      <c r="U467" s="649"/>
      <c r="V467" s="649"/>
      <c r="W467" s="649"/>
    </row>
    <row r="468" spans="1:23">
      <c r="A468" s="647"/>
      <c r="B468" s="648"/>
      <c r="C468" s="649"/>
      <c r="D468" s="649"/>
      <c r="I468" s="652"/>
      <c r="K468" s="652"/>
      <c r="M468" s="652"/>
      <c r="U468" s="649"/>
      <c r="V468" s="649"/>
      <c r="W468" s="649"/>
    </row>
    <row r="469" spans="1:23">
      <c r="A469" s="647"/>
      <c r="B469" s="648"/>
      <c r="C469" s="649"/>
      <c r="D469" s="649"/>
      <c r="I469" s="652"/>
      <c r="K469" s="652"/>
      <c r="M469" s="652"/>
      <c r="U469" s="649"/>
      <c r="V469" s="649"/>
      <c r="W469" s="649"/>
    </row>
    <row r="470" spans="1:23">
      <c r="A470" s="647"/>
      <c r="B470" s="648"/>
      <c r="C470" s="649"/>
      <c r="D470" s="649"/>
      <c r="I470" s="652"/>
      <c r="K470" s="652"/>
      <c r="M470" s="652"/>
      <c r="U470" s="649"/>
      <c r="V470" s="649"/>
      <c r="W470" s="649"/>
    </row>
    <row r="471" spans="1:23">
      <c r="A471" s="647"/>
      <c r="B471" s="648"/>
      <c r="C471" s="649"/>
      <c r="D471" s="649"/>
      <c r="I471" s="652"/>
      <c r="K471" s="652"/>
      <c r="M471" s="652"/>
      <c r="U471" s="649"/>
      <c r="V471" s="649"/>
      <c r="W471" s="649"/>
    </row>
    <row r="472" spans="1:23">
      <c r="A472" s="647"/>
      <c r="B472" s="648"/>
      <c r="C472" s="649"/>
      <c r="D472" s="649"/>
      <c r="I472" s="652"/>
      <c r="K472" s="652"/>
      <c r="M472" s="652"/>
      <c r="U472" s="649"/>
      <c r="V472" s="649"/>
      <c r="W472" s="649"/>
    </row>
    <row r="473" spans="1:23">
      <c r="A473" s="647"/>
      <c r="B473" s="648"/>
      <c r="C473" s="649"/>
      <c r="D473" s="649"/>
      <c r="I473" s="652"/>
      <c r="K473" s="652"/>
      <c r="M473" s="652"/>
      <c r="U473" s="649"/>
      <c r="V473" s="649"/>
      <c r="W473" s="649"/>
    </row>
    <row r="474" spans="1:23">
      <c r="A474" s="647"/>
      <c r="B474" s="648"/>
      <c r="C474" s="649"/>
      <c r="D474" s="649"/>
      <c r="I474" s="652"/>
      <c r="K474" s="652"/>
      <c r="M474" s="652"/>
      <c r="U474" s="649"/>
      <c r="V474" s="649"/>
      <c r="W474" s="649"/>
    </row>
    <row r="475" spans="1:23">
      <c r="A475" s="647"/>
      <c r="B475" s="648"/>
      <c r="C475" s="649"/>
      <c r="D475" s="649"/>
      <c r="I475" s="652"/>
      <c r="K475" s="652"/>
      <c r="M475" s="652"/>
      <c r="U475" s="649"/>
      <c r="V475" s="649"/>
      <c r="W475" s="649"/>
    </row>
    <row r="476" spans="1:23">
      <c r="A476" s="647"/>
      <c r="B476" s="648"/>
      <c r="C476" s="649"/>
      <c r="D476" s="649"/>
      <c r="I476" s="652"/>
      <c r="K476" s="652"/>
      <c r="M476" s="652"/>
      <c r="U476" s="649"/>
      <c r="V476" s="649"/>
      <c r="W476" s="649"/>
    </row>
    <row r="477" spans="1:23">
      <c r="A477" s="647"/>
      <c r="B477" s="648"/>
      <c r="C477" s="649"/>
      <c r="D477" s="649"/>
      <c r="I477" s="652"/>
      <c r="K477" s="652"/>
      <c r="M477" s="652"/>
      <c r="U477" s="649"/>
      <c r="V477" s="649"/>
      <c r="W477" s="649"/>
    </row>
    <row r="478" spans="1:23">
      <c r="A478" s="647"/>
      <c r="B478" s="648"/>
      <c r="C478" s="649"/>
      <c r="D478" s="649"/>
      <c r="I478" s="652"/>
      <c r="K478" s="652"/>
      <c r="M478" s="652"/>
      <c r="U478" s="649"/>
      <c r="V478" s="649"/>
      <c r="W478" s="649"/>
    </row>
    <row r="479" spans="1:23">
      <c r="A479" s="647"/>
      <c r="B479" s="648"/>
      <c r="C479" s="649"/>
      <c r="D479" s="649"/>
      <c r="I479" s="652"/>
      <c r="K479" s="652"/>
      <c r="M479" s="652"/>
      <c r="U479" s="649"/>
      <c r="V479" s="649"/>
      <c r="W479" s="649"/>
    </row>
    <row r="480" spans="1:23">
      <c r="A480" s="647"/>
      <c r="B480" s="648"/>
      <c r="C480" s="649"/>
      <c r="D480" s="649"/>
      <c r="I480" s="652"/>
      <c r="K480" s="652"/>
      <c r="M480" s="652"/>
      <c r="U480" s="649"/>
      <c r="V480" s="649"/>
      <c r="W480" s="649"/>
    </row>
    <row r="481" spans="1:23">
      <c r="A481" s="647"/>
      <c r="B481" s="648"/>
      <c r="C481" s="649"/>
      <c r="D481" s="649"/>
      <c r="I481" s="652"/>
      <c r="K481" s="652"/>
      <c r="M481" s="652"/>
      <c r="U481" s="649"/>
      <c r="V481" s="649"/>
      <c r="W481" s="649"/>
    </row>
    <row r="482" spans="1:23">
      <c r="A482" s="647"/>
      <c r="B482" s="648"/>
      <c r="C482" s="649"/>
      <c r="D482" s="649"/>
      <c r="I482" s="652"/>
      <c r="K482" s="652"/>
      <c r="M482" s="652"/>
      <c r="U482" s="649"/>
      <c r="V482" s="649"/>
      <c r="W482" s="649"/>
    </row>
    <row r="483" spans="1:23">
      <c r="A483" s="647"/>
      <c r="B483" s="648"/>
      <c r="C483" s="649"/>
      <c r="D483" s="649"/>
      <c r="I483" s="652"/>
      <c r="K483" s="652"/>
      <c r="M483" s="652"/>
      <c r="U483" s="649"/>
      <c r="V483" s="649"/>
      <c r="W483" s="649"/>
    </row>
    <row r="484" spans="1:23">
      <c r="A484" s="647"/>
      <c r="B484" s="648"/>
      <c r="C484" s="649"/>
      <c r="D484" s="649"/>
      <c r="I484" s="652"/>
      <c r="K484" s="652"/>
      <c r="M484" s="652"/>
      <c r="U484" s="649"/>
      <c r="V484" s="649"/>
      <c r="W484" s="649"/>
    </row>
    <row r="485" spans="1:23">
      <c r="A485" s="647"/>
      <c r="B485" s="648"/>
      <c r="C485" s="649"/>
      <c r="D485" s="649"/>
      <c r="I485" s="652"/>
      <c r="K485" s="652"/>
      <c r="M485" s="652"/>
      <c r="U485" s="649"/>
      <c r="V485" s="649"/>
      <c r="W485" s="649"/>
    </row>
    <row r="486" spans="1:23">
      <c r="A486" s="647"/>
      <c r="B486" s="648"/>
      <c r="C486" s="649"/>
      <c r="D486" s="649"/>
      <c r="I486" s="652"/>
      <c r="K486" s="652"/>
      <c r="M486" s="652"/>
      <c r="U486" s="649"/>
      <c r="V486" s="649"/>
      <c r="W486" s="649"/>
    </row>
    <row r="487" spans="1:23">
      <c r="A487" s="647"/>
      <c r="B487" s="648"/>
      <c r="C487" s="649"/>
      <c r="D487" s="649"/>
      <c r="I487" s="652"/>
      <c r="K487" s="652"/>
      <c r="M487" s="652"/>
      <c r="U487" s="649"/>
      <c r="V487" s="649"/>
      <c r="W487" s="649"/>
    </row>
    <row r="488" spans="1:23">
      <c r="A488" s="647"/>
      <c r="B488" s="648"/>
      <c r="C488" s="649"/>
      <c r="D488" s="649"/>
      <c r="I488" s="652"/>
      <c r="K488" s="652"/>
      <c r="M488" s="652"/>
      <c r="U488" s="649"/>
      <c r="V488" s="649"/>
      <c r="W488" s="649"/>
    </row>
    <row r="489" spans="1:23">
      <c r="A489" s="647"/>
      <c r="B489" s="648"/>
      <c r="C489" s="649"/>
      <c r="D489" s="649"/>
      <c r="I489" s="652"/>
      <c r="K489" s="652"/>
      <c r="M489" s="652"/>
      <c r="U489" s="649"/>
      <c r="V489" s="649"/>
      <c r="W489" s="649"/>
    </row>
    <row r="490" spans="1:23">
      <c r="A490" s="647"/>
      <c r="B490" s="648"/>
      <c r="C490" s="649"/>
      <c r="D490" s="649"/>
      <c r="I490" s="652"/>
      <c r="K490" s="652"/>
      <c r="M490" s="652"/>
      <c r="U490" s="649"/>
      <c r="V490" s="649"/>
      <c r="W490" s="649"/>
    </row>
    <row r="491" spans="1:23">
      <c r="A491" s="647"/>
      <c r="B491" s="648"/>
      <c r="C491" s="649"/>
      <c r="D491" s="649"/>
      <c r="I491" s="652"/>
      <c r="K491" s="652"/>
      <c r="M491" s="652"/>
      <c r="U491" s="649"/>
      <c r="V491" s="649"/>
      <c r="W491" s="649"/>
    </row>
    <row r="492" spans="1:23">
      <c r="A492" s="647"/>
      <c r="B492" s="648"/>
      <c r="C492" s="649"/>
      <c r="D492" s="649"/>
      <c r="I492" s="652"/>
      <c r="K492" s="652"/>
      <c r="M492" s="652"/>
      <c r="U492" s="649"/>
      <c r="V492" s="649"/>
      <c r="W492" s="649"/>
    </row>
    <row r="493" spans="1:23">
      <c r="A493" s="647"/>
      <c r="B493" s="648"/>
      <c r="C493" s="649"/>
      <c r="D493" s="649"/>
      <c r="I493" s="652"/>
      <c r="K493" s="652"/>
      <c r="M493" s="652"/>
      <c r="U493" s="649"/>
      <c r="V493" s="649"/>
      <c r="W493" s="649"/>
    </row>
    <row r="494" spans="1:23">
      <c r="A494" s="647"/>
      <c r="B494" s="648"/>
      <c r="C494" s="649"/>
      <c r="D494" s="649"/>
      <c r="I494" s="652"/>
      <c r="K494" s="652"/>
      <c r="M494" s="652"/>
      <c r="U494" s="649"/>
      <c r="V494" s="649"/>
      <c r="W494" s="649"/>
    </row>
    <row r="495" spans="1:23">
      <c r="A495" s="647"/>
      <c r="B495" s="648"/>
      <c r="C495" s="649"/>
      <c r="D495" s="649"/>
      <c r="I495" s="652"/>
      <c r="K495" s="652"/>
      <c r="M495" s="652"/>
      <c r="U495" s="649"/>
      <c r="V495" s="649"/>
      <c r="W495" s="649"/>
    </row>
    <row r="496" spans="1:23">
      <c r="A496" s="647"/>
      <c r="B496" s="648"/>
      <c r="C496" s="649"/>
      <c r="D496" s="649"/>
      <c r="I496" s="652"/>
      <c r="K496" s="652"/>
      <c r="M496" s="652"/>
      <c r="U496" s="649"/>
      <c r="V496" s="649"/>
      <c r="W496" s="649"/>
    </row>
    <row r="497" spans="1:23">
      <c r="A497" s="647"/>
      <c r="B497" s="648"/>
      <c r="C497" s="649"/>
      <c r="D497" s="649"/>
      <c r="I497" s="652"/>
      <c r="K497" s="652"/>
      <c r="M497" s="652"/>
      <c r="U497" s="649"/>
      <c r="V497" s="649"/>
      <c r="W497" s="649"/>
    </row>
    <row r="498" spans="1:23">
      <c r="A498" s="647"/>
      <c r="B498" s="648"/>
      <c r="C498" s="649"/>
      <c r="D498" s="649"/>
      <c r="I498" s="652"/>
      <c r="K498" s="652"/>
      <c r="M498" s="652"/>
      <c r="U498" s="649"/>
      <c r="V498" s="649"/>
      <c r="W498" s="649"/>
    </row>
    <row r="499" spans="1:23">
      <c r="A499" s="647"/>
      <c r="B499" s="648"/>
      <c r="C499" s="649"/>
      <c r="D499" s="649"/>
      <c r="I499" s="652"/>
      <c r="K499" s="652"/>
      <c r="M499" s="652"/>
      <c r="U499" s="649"/>
      <c r="V499" s="649"/>
      <c r="W499" s="649"/>
    </row>
    <row r="500" spans="1:23">
      <c r="A500" s="647"/>
      <c r="B500" s="648"/>
      <c r="C500" s="649"/>
      <c r="D500" s="649"/>
      <c r="I500" s="652"/>
      <c r="K500" s="652"/>
      <c r="M500" s="652"/>
      <c r="U500" s="649"/>
      <c r="V500" s="649"/>
      <c r="W500" s="649"/>
    </row>
    <row r="501" spans="1:23">
      <c r="A501" s="647"/>
      <c r="B501" s="648"/>
      <c r="C501" s="649"/>
      <c r="D501" s="649"/>
      <c r="I501" s="652"/>
      <c r="K501" s="652"/>
      <c r="M501" s="652"/>
      <c r="U501" s="649"/>
      <c r="V501" s="649"/>
      <c r="W501" s="649"/>
    </row>
    <row r="502" spans="1:23">
      <c r="A502" s="647"/>
      <c r="B502" s="648"/>
      <c r="C502" s="649"/>
      <c r="D502" s="649"/>
      <c r="I502" s="652"/>
      <c r="K502" s="652"/>
      <c r="M502" s="652"/>
      <c r="U502" s="649"/>
      <c r="V502" s="649"/>
      <c r="W502" s="649"/>
    </row>
    <row r="503" spans="1:23">
      <c r="A503" s="647"/>
      <c r="B503" s="648"/>
      <c r="C503" s="649"/>
      <c r="D503" s="649"/>
      <c r="I503" s="652"/>
      <c r="K503" s="652"/>
      <c r="M503" s="652"/>
      <c r="U503" s="649"/>
      <c r="V503" s="649"/>
      <c r="W503" s="649"/>
    </row>
    <row r="504" spans="1:23">
      <c r="A504" s="647"/>
      <c r="B504" s="648"/>
      <c r="C504" s="649"/>
      <c r="D504" s="649"/>
      <c r="I504" s="652"/>
      <c r="K504" s="652"/>
      <c r="M504" s="652"/>
      <c r="U504" s="649"/>
      <c r="V504" s="649"/>
      <c r="W504" s="649"/>
    </row>
    <row r="505" spans="1:23">
      <c r="A505" s="647"/>
      <c r="B505" s="648"/>
      <c r="C505" s="649"/>
      <c r="D505" s="649"/>
      <c r="I505" s="652"/>
      <c r="K505" s="652"/>
      <c r="M505" s="652"/>
      <c r="U505" s="649"/>
      <c r="V505" s="649"/>
      <c r="W505" s="649"/>
    </row>
    <row r="506" spans="1:23">
      <c r="A506" s="647"/>
      <c r="B506" s="648"/>
      <c r="C506" s="649"/>
      <c r="D506" s="649"/>
      <c r="I506" s="652"/>
      <c r="K506" s="652"/>
      <c r="M506" s="652"/>
      <c r="U506" s="649"/>
      <c r="V506" s="649"/>
      <c r="W506" s="649"/>
    </row>
    <row r="507" spans="1:23">
      <c r="A507" s="647"/>
      <c r="B507" s="648"/>
      <c r="C507" s="649"/>
      <c r="D507" s="649"/>
      <c r="I507" s="652"/>
      <c r="K507" s="652"/>
      <c r="M507" s="652"/>
      <c r="U507" s="649"/>
      <c r="V507" s="649"/>
      <c r="W507" s="649"/>
    </row>
    <row r="508" spans="1:23">
      <c r="A508" s="647"/>
      <c r="B508" s="648"/>
      <c r="C508" s="649"/>
      <c r="D508" s="649"/>
      <c r="I508" s="652"/>
      <c r="K508" s="652"/>
      <c r="M508" s="652"/>
      <c r="U508" s="649"/>
      <c r="V508" s="649"/>
      <c r="W508" s="649"/>
    </row>
    <row r="509" spans="1:23">
      <c r="A509" s="647"/>
      <c r="B509" s="648"/>
      <c r="C509" s="649"/>
      <c r="D509" s="649"/>
      <c r="I509" s="652"/>
      <c r="K509" s="652"/>
      <c r="M509" s="652"/>
      <c r="U509" s="649"/>
      <c r="V509" s="649"/>
      <c r="W509" s="649"/>
    </row>
    <row r="510" spans="1:23">
      <c r="A510" s="647"/>
      <c r="B510" s="648"/>
      <c r="C510" s="649"/>
      <c r="D510" s="649"/>
      <c r="I510" s="652"/>
      <c r="K510" s="652"/>
      <c r="M510" s="652"/>
      <c r="U510" s="649"/>
      <c r="V510" s="649"/>
      <c r="W510" s="649"/>
    </row>
    <row r="511" spans="1:23">
      <c r="A511" s="647"/>
      <c r="B511" s="648"/>
      <c r="C511" s="649"/>
      <c r="D511" s="649"/>
      <c r="I511" s="652"/>
      <c r="K511" s="652"/>
      <c r="M511" s="652"/>
      <c r="U511" s="649"/>
      <c r="V511" s="649"/>
      <c r="W511" s="649"/>
    </row>
    <row r="512" spans="1:23">
      <c r="A512" s="647"/>
      <c r="B512" s="648"/>
      <c r="C512" s="649"/>
      <c r="D512" s="649"/>
      <c r="I512" s="652"/>
      <c r="K512" s="652"/>
      <c r="M512" s="652"/>
      <c r="U512" s="649"/>
      <c r="V512" s="649"/>
      <c r="W512" s="649"/>
    </row>
    <row r="513" spans="1:23">
      <c r="A513" s="647"/>
      <c r="B513" s="648"/>
      <c r="C513" s="649"/>
      <c r="D513" s="649"/>
      <c r="I513" s="652"/>
      <c r="K513" s="652"/>
      <c r="M513" s="652"/>
      <c r="U513" s="649"/>
      <c r="V513" s="649"/>
      <c r="W513" s="649"/>
    </row>
    <row r="514" spans="1:23">
      <c r="A514" s="647"/>
      <c r="B514" s="648"/>
      <c r="C514" s="649"/>
      <c r="D514" s="649"/>
      <c r="I514" s="652"/>
      <c r="K514" s="652"/>
      <c r="M514" s="652"/>
      <c r="U514" s="649"/>
      <c r="V514" s="649"/>
      <c r="W514" s="649"/>
    </row>
    <row r="515" spans="1:23">
      <c r="A515" s="647"/>
      <c r="B515" s="648"/>
      <c r="C515" s="649"/>
      <c r="D515" s="649"/>
      <c r="I515" s="652"/>
      <c r="K515" s="652"/>
      <c r="M515" s="652"/>
      <c r="U515" s="649"/>
      <c r="V515" s="649"/>
      <c r="W515" s="649"/>
    </row>
    <row r="516" spans="1:23">
      <c r="A516" s="647"/>
      <c r="B516" s="648"/>
      <c r="C516" s="649"/>
      <c r="D516" s="649"/>
      <c r="I516" s="652"/>
      <c r="K516" s="652"/>
      <c r="M516" s="652"/>
      <c r="U516" s="649"/>
      <c r="V516" s="649"/>
      <c r="W516" s="649"/>
    </row>
    <row r="517" spans="1:23">
      <c r="A517" s="647"/>
      <c r="B517" s="648"/>
      <c r="C517" s="649"/>
      <c r="D517" s="649"/>
      <c r="I517" s="652"/>
      <c r="K517" s="652"/>
      <c r="M517" s="652"/>
      <c r="U517" s="649"/>
      <c r="V517" s="649"/>
      <c r="W517" s="649"/>
    </row>
    <row r="518" spans="1:23">
      <c r="A518" s="647"/>
      <c r="B518" s="648"/>
      <c r="C518" s="649"/>
      <c r="D518" s="649"/>
      <c r="I518" s="652"/>
      <c r="K518" s="652"/>
      <c r="M518" s="652"/>
      <c r="U518" s="649"/>
      <c r="V518" s="649"/>
      <c r="W518" s="649"/>
    </row>
    <row r="519" spans="1:23">
      <c r="A519" s="647"/>
      <c r="B519" s="648"/>
      <c r="C519" s="649"/>
      <c r="D519" s="649"/>
      <c r="I519" s="652"/>
      <c r="K519" s="652"/>
      <c r="M519" s="652"/>
      <c r="U519" s="649"/>
      <c r="V519" s="649"/>
      <c r="W519" s="649"/>
    </row>
    <row r="520" spans="1:23">
      <c r="A520" s="647"/>
      <c r="B520" s="648"/>
      <c r="C520" s="649"/>
      <c r="D520" s="649"/>
      <c r="I520" s="652"/>
      <c r="K520" s="652"/>
      <c r="M520" s="652"/>
      <c r="U520" s="649"/>
      <c r="V520" s="649"/>
      <c r="W520" s="649"/>
    </row>
    <row r="521" spans="1:23">
      <c r="A521" s="647"/>
      <c r="B521" s="648"/>
      <c r="C521" s="649"/>
      <c r="D521" s="649"/>
      <c r="I521" s="652"/>
      <c r="K521" s="652"/>
      <c r="M521" s="652"/>
      <c r="U521" s="649"/>
      <c r="V521" s="649"/>
      <c r="W521" s="649"/>
    </row>
    <row r="522" spans="1:23">
      <c r="A522" s="647"/>
      <c r="B522" s="648"/>
      <c r="C522" s="649"/>
      <c r="D522" s="649"/>
      <c r="I522" s="652"/>
      <c r="K522" s="652"/>
      <c r="M522" s="652"/>
      <c r="U522" s="649"/>
      <c r="V522" s="649"/>
      <c r="W522" s="649"/>
    </row>
    <row r="523" spans="1:23">
      <c r="A523" s="647"/>
      <c r="B523" s="648"/>
      <c r="C523" s="649"/>
      <c r="D523" s="649"/>
      <c r="I523" s="652"/>
      <c r="K523" s="652"/>
      <c r="M523" s="652"/>
      <c r="U523" s="649"/>
      <c r="V523" s="649"/>
      <c r="W523" s="649"/>
    </row>
    <row r="524" spans="1:23">
      <c r="A524" s="647"/>
      <c r="B524" s="648"/>
      <c r="C524" s="649"/>
      <c r="D524" s="649"/>
      <c r="I524" s="652"/>
      <c r="K524" s="652"/>
      <c r="M524" s="652"/>
      <c r="U524" s="649"/>
      <c r="V524" s="649"/>
      <c r="W524" s="649"/>
    </row>
    <row r="525" spans="1:23">
      <c r="A525" s="647"/>
      <c r="B525" s="648"/>
      <c r="C525" s="649"/>
      <c r="D525" s="649"/>
      <c r="I525" s="652"/>
      <c r="K525" s="652"/>
      <c r="M525" s="652"/>
      <c r="U525" s="649"/>
      <c r="V525" s="649"/>
      <c r="W525" s="649"/>
    </row>
    <row r="526" spans="1:23">
      <c r="A526" s="647"/>
      <c r="B526" s="648"/>
      <c r="C526" s="649"/>
      <c r="D526" s="649"/>
      <c r="I526" s="652"/>
      <c r="K526" s="652"/>
      <c r="M526" s="652"/>
      <c r="U526" s="649"/>
      <c r="V526" s="649"/>
      <c r="W526" s="649"/>
    </row>
    <row r="527" spans="1:23">
      <c r="A527" s="647"/>
      <c r="B527" s="648"/>
      <c r="C527" s="649"/>
      <c r="D527" s="649"/>
      <c r="I527" s="652"/>
      <c r="K527" s="652"/>
      <c r="M527" s="652"/>
      <c r="U527" s="649"/>
      <c r="V527" s="649"/>
      <c r="W527" s="649"/>
    </row>
    <row r="528" spans="1:23">
      <c r="A528" s="647"/>
      <c r="B528" s="648"/>
      <c r="C528" s="649"/>
      <c r="D528" s="649"/>
      <c r="I528" s="652"/>
      <c r="K528" s="652"/>
      <c r="M528" s="652"/>
      <c r="U528" s="649"/>
      <c r="V528" s="649"/>
      <c r="W528" s="649"/>
    </row>
    <row r="529" spans="1:23">
      <c r="A529" s="647"/>
      <c r="B529" s="648"/>
      <c r="C529" s="649"/>
      <c r="D529" s="649"/>
      <c r="I529" s="652"/>
      <c r="K529" s="652"/>
      <c r="M529" s="652"/>
      <c r="U529" s="649"/>
      <c r="V529" s="649"/>
      <c r="W529" s="649"/>
    </row>
    <row r="530" spans="1:23">
      <c r="A530" s="647"/>
      <c r="B530" s="648"/>
      <c r="C530" s="649"/>
      <c r="D530" s="649"/>
      <c r="I530" s="652"/>
      <c r="K530" s="652"/>
      <c r="M530" s="652"/>
      <c r="U530" s="649"/>
      <c r="V530" s="649"/>
      <c r="W530" s="649"/>
    </row>
    <row r="531" spans="1:23">
      <c r="A531" s="647"/>
      <c r="B531" s="648"/>
      <c r="C531" s="649"/>
      <c r="D531" s="649"/>
      <c r="I531" s="652"/>
      <c r="K531" s="652"/>
      <c r="M531" s="652"/>
      <c r="U531" s="649"/>
      <c r="V531" s="649"/>
      <c r="W531" s="649"/>
    </row>
    <row r="532" spans="1:23">
      <c r="A532" s="647"/>
      <c r="B532" s="648"/>
      <c r="C532" s="649"/>
      <c r="D532" s="649"/>
      <c r="I532" s="652"/>
      <c r="K532" s="652"/>
      <c r="M532" s="652"/>
      <c r="U532" s="649"/>
      <c r="V532" s="649"/>
      <c r="W532" s="649"/>
    </row>
    <row r="533" spans="1:23">
      <c r="A533" s="647"/>
      <c r="B533" s="648"/>
      <c r="C533" s="649"/>
      <c r="D533" s="649"/>
      <c r="I533" s="652"/>
      <c r="K533" s="652"/>
      <c r="M533" s="652"/>
      <c r="U533" s="649"/>
      <c r="V533" s="649"/>
      <c r="W533" s="649"/>
    </row>
    <row r="534" spans="1:23">
      <c r="A534" s="647"/>
      <c r="B534" s="648"/>
      <c r="C534" s="649"/>
      <c r="D534" s="649"/>
      <c r="I534" s="652"/>
      <c r="K534" s="652"/>
      <c r="M534" s="652"/>
      <c r="U534" s="649"/>
      <c r="V534" s="649"/>
      <c r="W534" s="649"/>
    </row>
    <row r="535" spans="1:23">
      <c r="A535" s="647"/>
      <c r="B535" s="648"/>
      <c r="C535" s="649"/>
      <c r="D535" s="649"/>
      <c r="I535" s="652"/>
      <c r="K535" s="652"/>
      <c r="M535" s="652"/>
      <c r="U535" s="649"/>
      <c r="V535" s="649"/>
      <c r="W535" s="649"/>
    </row>
    <row r="536" spans="1:23">
      <c r="A536" s="647"/>
      <c r="B536" s="648"/>
      <c r="C536" s="649"/>
      <c r="D536" s="649"/>
      <c r="I536" s="652"/>
      <c r="K536" s="652"/>
      <c r="M536" s="652"/>
      <c r="U536" s="649"/>
      <c r="V536" s="649"/>
      <c r="W536" s="649"/>
    </row>
    <row r="537" spans="1:23">
      <c r="A537" s="647"/>
      <c r="B537" s="648"/>
      <c r="C537" s="649"/>
      <c r="D537" s="649"/>
      <c r="I537" s="652"/>
      <c r="K537" s="652"/>
      <c r="M537" s="652"/>
      <c r="U537" s="649"/>
      <c r="V537" s="649"/>
      <c r="W537" s="649"/>
    </row>
    <row r="538" spans="1:23">
      <c r="A538" s="647"/>
      <c r="B538" s="648"/>
      <c r="C538" s="649"/>
      <c r="D538" s="649"/>
      <c r="I538" s="652"/>
      <c r="K538" s="652"/>
      <c r="M538" s="652"/>
      <c r="U538" s="649"/>
      <c r="V538" s="649"/>
      <c r="W538" s="649"/>
    </row>
    <row r="539" spans="1:23">
      <c r="A539" s="647"/>
      <c r="B539" s="648"/>
      <c r="C539" s="649"/>
      <c r="D539" s="649"/>
      <c r="I539" s="652"/>
      <c r="K539" s="652"/>
      <c r="M539" s="652"/>
      <c r="U539" s="649"/>
      <c r="V539" s="649"/>
      <c r="W539" s="649"/>
    </row>
    <row r="540" spans="1:23">
      <c r="A540" s="647"/>
      <c r="B540" s="648"/>
      <c r="C540" s="649"/>
      <c r="D540" s="649"/>
      <c r="I540" s="652"/>
      <c r="K540" s="652"/>
      <c r="M540" s="652"/>
      <c r="U540" s="649"/>
      <c r="V540" s="649"/>
      <c r="W540" s="649"/>
    </row>
    <row r="541" spans="1:23">
      <c r="A541" s="647"/>
      <c r="B541" s="648"/>
      <c r="C541" s="649"/>
      <c r="D541" s="649"/>
      <c r="I541" s="652"/>
      <c r="K541" s="652"/>
      <c r="M541" s="652"/>
      <c r="U541" s="649"/>
      <c r="V541" s="649"/>
      <c r="W541" s="649"/>
    </row>
    <row r="542" spans="1:23">
      <c r="A542" s="647"/>
      <c r="B542" s="648"/>
      <c r="C542" s="649"/>
      <c r="D542" s="649"/>
      <c r="I542" s="652"/>
      <c r="K542" s="652"/>
      <c r="M542" s="652"/>
      <c r="U542" s="649"/>
      <c r="V542" s="649"/>
      <c r="W542" s="649"/>
    </row>
    <row r="543" spans="1:23">
      <c r="A543" s="647"/>
      <c r="B543" s="648"/>
      <c r="C543" s="649"/>
      <c r="D543" s="649"/>
      <c r="I543" s="652"/>
      <c r="K543" s="652"/>
      <c r="M543" s="652"/>
      <c r="U543" s="649"/>
      <c r="V543" s="649"/>
      <c r="W543" s="649"/>
    </row>
    <row r="544" spans="1:23">
      <c r="A544" s="647"/>
      <c r="B544" s="648"/>
      <c r="C544" s="649"/>
      <c r="D544" s="649"/>
      <c r="I544" s="652"/>
      <c r="K544" s="652"/>
      <c r="M544" s="652"/>
      <c r="U544" s="649"/>
      <c r="V544" s="649"/>
      <c r="W544" s="649"/>
    </row>
    <row r="545" spans="1:23">
      <c r="A545" s="647"/>
      <c r="B545" s="648"/>
      <c r="C545" s="649"/>
      <c r="D545" s="649"/>
      <c r="I545" s="652"/>
      <c r="K545" s="652"/>
      <c r="M545" s="652"/>
      <c r="U545" s="649"/>
      <c r="V545" s="649"/>
      <c r="W545" s="649"/>
    </row>
    <row r="546" spans="1:23">
      <c r="A546" s="647"/>
      <c r="B546" s="648"/>
      <c r="C546" s="649"/>
      <c r="D546" s="649"/>
      <c r="I546" s="652"/>
      <c r="K546" s="652"/>
      <c r="M546" s="652"/>
      <c r="U546" s="649"/>
      <c r="V546" s="649"/>
      <c r="W546" s="649"/>
    </row>
    <row r="547" spans="1:23">
      <c r="A547" s="647"/>
      <c r="B547" s="648"/>
      <c r="C547" s="649"/>
      <c r="D547" s="649"/>
      <c r="I547" s="652"/>
      <c r="K547" s="652"/>
      <c r="M547" s="652"/>
      <c r="U547" s="649"/>
      <c r="V547" s="649"/>
      <c r="W547" s="649"/>
    </row>
    <row r="548" spans="1:23">
      <c r="A548" s="647"/>
      <c r="B548" s="648"/>
      <c r="C548" s="649"/>
      <c r="D548" s="649"/>
      <c r="I548" s="652"/>
      <c r="K548" s="652"/>
      <c r="M548" s="652"/>
      <c r="U548" s="649"/>
      <c r="V548" s="649"/>
      <c r="W548" s="649"/>
    </row>
    <row r="549" spans="1:23">
      <c r="A549" s="647"/>
      <c r="B549" s="648"/>
      <c r="C549" s="649"/>
      <c r="D549" s="649"/>
      <c r="I549" s="652"/>
      <c r="K549" s="652"/>
      <c r="M549" s="652"/>
      <c r="U549" s="649"/>
      <c r="V549" s="649"/>
      <c r="W549" s="649"/>
    </row>
    <row r="550" spans="1:23">
      <c r="A550" s="647"/>
      <c r="B550" s="648"/>
      <c r="C550" s="649"/>
      <c r="D550" s="649"/>
      <c r="I550" s="652"/>
      <c r="K550" s="652"/>
      <c r="M550" s="652"/>
      <c r="U550" s="649"/>
      <c r="V550" s="649"/>
      <c r="W550" s="649"/>
    </row>
    <row r="551" spans="1:23">
      <c r="A551" s="647"/>
      <c r="B551" s="648"/>
      <c r="C551" s="649"/>
      <c r="D551" s="649"/>
      <c r="I551" s="652"/>
      <c r="K551" s="652"/>
      <c r="M551" s="652"/>
      <c r="U551" s="649"/>
      <c r="V551" s="649"/>
      <c r="W551" s="649"/>
    </row>
    <row r="552" spans="1:23">
      <c r="A552" s="647"/>
      <c r="B552" s="648"/>
      <c r="C552" s="649"/>
      <c r="D552" s="649"/>
      <c r="I552" s="652"/>
      <c r="K552" s="652"/>
      <c r="M552" s="652"/>
      <c r="U552" s="649"/>
      <c r="V552" s="649"/>
      <c r="W552" s="649"/>
    </row>
    <row r="553" spans="1:23">
      <c r="A553" s="647"/>
      <c r="B553" s="648"/>
      <c r="C553" s="649"/>
      <c r="D553" s="649"/>
      <c r="I553" s="652"/>
      <c r="K553" s="652"/>
      <c r="M553" s="652"/>
      <c r="U553" s="649"/>
      <c r="V553" s="649"/>
      <c r="W553" s="649"/>
    </row>
    <row r="554" spans="1:23">
      <c r="A554" s="647"/>
      <c r="B554" s="648"/>
      <c r="C554" s="649"/>
      <c r="D554" s="649"/>
      <c r="I554" s="652"/>
      <c r="K554" s="652"/>
      <c r="M554" s="652"/>
      <c r="U554" s="649"/>
      <c r="V554" s="649"/>
      <c r="W554" s="649"/>
    </row>
    <row r="555" spans="1:23">
      <c r="A555" s="647"/>
      <c r="B555" s="648"/>
      <c r="C555" s="649"/>
      <c r="D555" s="649"/>
      <c r="I555" s="652"/>
      <c r="K555" s="652"/>
      <c r="M555" s="652"/>
      <c r="U555" s="649"/>
      <c r="V555" s="649"/>
      <c r="W555" s="649"/>
    </row>
    <row r="556" spans="1:23">
      <c r="A556" s="647"/>
      <c r="B556" s="648"/>
      <c r="C556" s="649"/>
      <c r="D556" s="649"/>
      <c r="I556" s="652"/>
      <c r="K556" s="652"/>
      <c r="M556" s="652"/>
      <c r="U556" s="649"/>
      <c r="V556" s="649"/>
      <c r="W556" s="649"/>
    </row>
    <row r="557" spans="1:23">
      <c r="A557" s="647"/>
      <c r="B557" s="648"/>
      <c r="C557" s="649"/>
      <c r="D557" s="649"/>
      <c r="I557" s="652"/>
      <c r="K557" s="652"/>
      <c r="M557" s="652"/>
      <c r="U557" s="649"/>
      <c r="V557" s="649"/>
      <c r="W557" s="649"/>
    </row>
    <row r="558" spans="1:23">
      <c r="A558" s="647"/>
      <c r="B558" s="648"/>
      <c r="C558" s="649"/>
      <c r="D558" s="649"/>
      <c r="I558" s="652"/>
      <c r="K558" s="652"/>
      <c r="M558" s="652"/>
      <c r="U558" s="649"/>
      <c r="V558" s="649"/>
      <c r="W558" s="649"/>
    </row>
    <row r="559" spans="1:23">
      <c r="A559" s="647"/>
      <c r="B559" s="648"/>
      <c r="C559" s="649"/>
      <c r="D559" s="649"/>
      <c r="I559" s="652"/>
      <c r="K559" s="652"/>
      <c r="M559" s="652"/>
      <c r="U559" s="649"/>
      <c r="V559" s="649"/>
      <c r="W559" s="649"/>
    </row>
    <row r="560" spans="1:23">
      <c r="A560" s="647"/>
      <c r="B560" s="648"/>
      <c r="C560" s="649"/>
      <c r="D560" s="649"/>
      <c r="I560" s="652"/>
      <c r="K560" s="652"/>
      <c r="M560" s="652"/>
      <c r="U560" s="649"/>
      <c r="V560" s="649"/>
      <c r="W560" s="649"/>
    </row>
    <row r="561" spans="1:23">
      <c r="A561" s="647"/>
      <c r="B561" s="648"/>
      <c r="C561" s="649"/>
      <c r="D561" s="649"/>
      <c r="I561" s="652"/>
      <c r="K561" s="652"/>
      <c r="M561" s="652"/>
      <c r="U561" s="649"/>
      <c r="V561" s="649"/>
      <c r="W561" s="649"/>
    </row>
    <row r="562" spans="1:23">
      <c r="A562" s="647"/>
      <c r="B562" s="648"/>
      <c r="C562" s="649"/>
      <c r="D562" s="649"/>
      <c r="I562" s="652"/>
      <c r="K562" s="652"/>
      <c r="M562" s="652"/>
      <c r="U562" s="649"/>
      <c r="V562" s="649"/>
      <c r="W562" s="649"/>
    </row>
    <row r="563" spans="1:23">
      <c r="A563" s="647"/>
      <c r="B563" s="648"/>
      <c r="C563" s="649"/>
      <c r="D563" s="649"/>
      <c r="I563" s="652"/>
      <c r="K563" s="652"/>
      <c r="M563" s="652"/>
      <c r="U563" s="649"/>
      <c r="V563" s="649"/>
      <c r="W563" s="649"/>
    </row>
    <row r="564" spans="1:23">
      <c r="A564" s="647"/>
      <c r="B564" s="648"/>
      <c r="C564" s="649"/>
      <c r="D564" s="649"/>
      <c r="I564" s="652"/>
      <c r="K564" s="652"/>
      <c r="M564" s="652"/>
      <c r="U564" s="649"/>
      <c r="V564" s="649"/>
      <c r="W564" s="649"/>
    </row>
    <row r="565" spans="1:23">
      <c r="A565" s="647"/>
      <c r="B565" s="648"/>
      <c r="C565" s="649"/>
      <c r="D565" s="649"/>
      <c r="I565" s="652"/>
      <c r="K565" s="652"/>
      <c r="M565" s="652"/>
      <c r="U565" s="649"/>
      <c r="V565" s="649"/>
      <c r="W565" s="649"/>
    </row>
    <row r="566" spans="1:23">
      <c r="A566" s="647"/>
      <c r="B566" s="648"/>
      <c r="C566" s="649"/>
      <c r="D566" s="649"/>
      <c r="I566" s="652"/>
      <c r="K566" s="652"/>
      <c r="M566" s="652"/>
      <c r="U566" s="649"/>
      <c r="V566" s="649"/>
      <c r="W566" s="649"/>
    </row>
    <row r="567" spans="1:23">
      <c r="A567" s="647"/>
      <c r="B567" s="648"/>
      <c r="C567" s="649"/>
      <c r="D567" s="649"/>
      <c r="I567" s="652"/>
      <c r="K567" s="652"/>
      <c r="M567" s="652"/>
      <c r="U567" s="649"/>
      <c r="V567" s="649"/>
      <c r="W567" s="649"/>
    </row>
    <row r="568" spans="1:23">
      <c r="A568" s="647"/>
      <c r="B568" s="648"/>
      <c r="C568" s="649"/>
      <c r="D568" s="649"/>
      <c r="I568" s="652"/>
      <c r="K568" s="652"/>
      <c r="M568" s="652"/>
      <c r="U568" s="649"/>
      <c r="V568" s="649"/>
      <c r="W568" s="649"/>
    </row>
    <row r="569" spans="1:23">
      <c r="A569" s="647"/>
      <c r="B569" s="648"/>
      <c r="C569" s="649"/>
      <c r="D569" s="649"/>
      <c r="I569" s="652"/>
      <c r="K569" s="652"/>
      <c r="M569" s="652"/>
      <c r="U569" s="649"/>
      <c r="V569" s="649"/>
      <c r="W569" s="649"/>
    </row>
    <row r="570" spans="1:23">
      <c r="A570" s="647"/>
      <c r="B570" s="648"/>
      <c r="C570" s="649"/>
      <c r="D570" s="649"/>
      <c r="I570" s="652"/>
      <c r="K570" s="652"/>
      <c r="M570" s="652"/>
      <c r="U570" s="649"/>
      <c r="V570" s="649"/>
      <c r="W570" s="649"/>
    </row>
    <row r="571" spans="1:23">
      <c r="A571" s="647"/>
      <c r="B571" s="648"/>
      <c r="C571" s="649"/>
      <c r="D571" s="649"/>
      <c r="I571" s="652"/>
      <c r="K571" s="652"/>
      <c r="M571" s="652"/>
      <c r="U571" s="649"/>
      <c r="V571" s="649"/>
      <c r="W571" s="649"/>
    </row>
    <row r="572" spans="1:23">
      <c r="A572" s="647"/>
      <c r="B572" s="648"/>
      <c r="C572" s="649"/>
      <c r="D572" s="649"/>
      <c r="I572" s="652"/>
      <c r="K572" s="652"/>
      <c r="M572" s="652"/>
      <c r="U572" s="649"/>
      <c r="V572" s="649"/>
      <c r="W572" s="649"/>
    </row>
    <row r="573" spans="1:23">
      <c r="A573" s="647"/>
      <c r="B573" s="648"/>
      <c r="C573" s="649"/>
      <c r="D573" s="649"/>
      <c r="I573" s="652"/>
      <c r="K573" s="652"/>
      <c r="M573" s="652"/>
      <c r="U573" s="649"/>
      <c r="V573" s="649"/>
      <c r="W573" s="649"/>
    </row>
    <row r="574" spans="1:23">
      <c r="A574" s="647"/>
      <c r="B574" s="648"/>
      <c r="C574" s="649"/>
      <c r="D574" s="649"/>
      <c r="I574" s="652"/>
      <c r="K574" s="652"/>
      <c r="M574" s="652"/>
      <c r="U574" s="649"/>
      <c r="V574" s="649"/>
      <c r="W574" s="649"/>
    </row>
    <row r="575" spans="1:23">
      <c r="A575" s="647"/>
      <c r="B575" s="648"/>
      <c r="C575" s="649"/>
      <c r="D575" s="649"/>
      <c r="I575" s="652"/>
      <c r="K575" s="652"/>
      <c r="M575" s="652"/>
      <c r="U575" s="649"/>
      <c r="V575" s="649"/>
      <c r="W575" s="649"/>
    </row>
    <row r="576" spans="1:23">
      <c r="A576" s="647"/>
      <c r="B576" s="648"/>
      <c r="C576" s="649"/>
      <c r="D576" s="649"/>
      <c r="I576" s="652"/>
      <c r="K576" s="652"/>
      <c r="M576" s="652"/>
      <c r="U576" s="649"/>
      <c r="V576" s="649"/>
      <c r="W576" s="649"/>
    </row>
    <row r="577" spans="1:23">
      <c r="A577" s="647"/>
      <c r="B577" s="648"/>
      <c r="C577" s="649"/>
      <c r="D577" s="649"/>
      <c r="I577" s="652"/>
      <c r="K577" s="652"/>
      <c r="M577" s="652"/>
      <c r="U577" s="649"/>
      <c r="V577" s="649"/>
      <c r="W577" s="649"/>
    </row>
    <row r="578" spans="1:23">
      <c r="A578" s="647"/>
      <c r="B578" s="648"/>
      <c r="C578" s="649"/>
      <c r="D578" s="649"/>
      <c r="I578" s="652"/>
      <c r="K578" s="652"/>
      <c r="M578" s="652"/>
      <c r="U578" s="649"/>
      <c r="V578" s="649"/>
      <c r="W578" s="649"/>
    </row>
    <row r="579" spans="1:23">
      <c r="A579" s="647"/>
      <c r="B579" s="648"/>
      <c r="C579" s="649"/>
      <c r="D579" s="649"/>
      <c r="I579" s="652"/>
      <c r="K579" s="652"/>
      <c r="M579" s="652"/>
      <c r="U579" s="649"/>
      <c r="V579" s="649"/>
      <c r="W579" s="649"/>
    </row>
    <row r="580" spans="1:23">
      <c r="A580" s="647"/>
      <c r="B580" s="648"/>
      <c r="C580" s="649"/>
      <c r="D580" s="649"/>
      <c r="I580" s="652"/>
      <c r="K580" s="652"/>
      <c r="M580" s="652"/>
      <c r="U580" s="649"/>
      <c r="V580" s="649"/>
      <c r="W580" s="649"/>
    </row>
    <row r="581" spans="1:23">
      <c r="A581" s="647"/>
      <c r="B581" s="648"/>
      <c r="C581" s="649"/>
      <c r="D581" s="649"/>
      <c r="I581" s="652"/>
      <c r="K581" s="652"/>
      <c r="M581" s="652"/>
      <c r="U581" s="649"/>
      <c r="V581" s="649"/>
      <c r="W581" s="649"/>
    </row>
    <row r="582" spans="1:23">
      <c r="A582" s="647"/>
      <c r="B582" s="648"/>
      <c r="C582" s="649"/>
      <c r="D582" s="649"/>
      <c r="I582" s="652"/>
      <c r="K582" s="652"/>
      <c r="M582" s="652"/>
      <c r="U582" s="649"/>
      <c r="V582" s="649"/>
      <c r="W582" s="649"/>
    </row>
    <row r="583" spans="1:23">
      <c r="A583" s="647"/>
      <c r="B583" s="648"/>
      <c r="C583" s="649"/>
      <c r="D583" s="649"/>
      <c r="I583" s="652"/>
      <c r="K583" s="652"/>
      <c r="M583" s="652"/>
      <c r="U583" s="649"/>
      <c r="V583" s="649"/>
      <c r="W583" s="649"/>
    </row>
    <row r="584" spans="1:23">
      <c r="A584" s="647"/>
      <c r="B584" s="648"/>
      <c r="C584" s="649"/>
      <c r="D584" s="649"/>
      <c r="I584" s="652"/>
      <c r="K584" s="652"/>
      <c r="M584" s="652"/>
      <c r="U584" s="649"/>
      <c r="V584" s="649"/>
      <c r="W584" s="649"/>
    </row>
    <row r="585" spans="1:23">
      <c r="A585" s="647"/>
      <c r="B585" s="648"/>
      <c r="C585" s="649"/>
      <c r="D585" s="649"/>
      <c r="I585" s="652"/>
      <c r="K585" s="652"/>
      <c r="M585" s="652"/>
      <c r="U585" s="649"/>
      <c r="V585" s="649"/>
      <c r="W585" s="649"/>
    </row>
    <row r="586" spans="1:23">
      <c r="A586" s="647"/>
      <c r="B586" s="648"/>
      <c r="C586" s="649"/>
      <c r="D586" s="649"/>
      <c r="I586" s="652"/>
      <c r="K586" s="652"/>
      <c r="M586" s="652"/>
      <c r="U586" s="649"/>
      <c r="V586" s="649"/>
      <c r="W586" s="649"/>
    </row>
    <row r="587" spans="1:23">
      <c r="A587" s="647"/>
      <c r="B587" s="648"/>
      <c r="C587" s="649"/>
      <c r="D587" s="649"/>
      <c r="I587" s="652"/>
      <c r="K587" s="652"/>
      <c r="M587" s="652"/>
      <c r="U587" s="649"/>
      <c r="V587" s="649"/>
      <c r="W587" s="649"/>
    </row>
    <row r="588" spans="1:23">
      <c r="A588" s="647"/>
      <c r="B588" s="648"/>
      <c r="C588" s="649"/>
      <c r="D588" s="649"/>
      <c r="I588" s="652"/>
      <c r="K588" s="652"/>
      <c r="M588" s="652"/>
      <c r="U588" s="649"/>
      <c r="V588" s="649"/>
      <c r="W588" s="649"/>
    </row>
    <row r="589" spans="1:23">
      <c r="A589" s="647"/>
      <c r="B589" s="648"/>
      <c r="C589" s="649"/>
      <c r="D589" s="649"/>
      <c r="I589" s="652"/>
      <c r="K589" s="652"/>
      <c r="M589" s="652"/>
      <c r="U589" s="649"/>
      <c r="V589" s="649"/>
      <c r="W589" s="649"/>
    </row>
    <row r="590" spans="1:23">
      <c r="A590" s="647"/>
      <c r="B590" s="648"/>
      <c r="C590" s="649"/>
      <c r="D590" s="649"/>
      <c r="I590" s="652"/>
      <c r="K590" s="652"/>
      <c r="M590" s="652"/>
      <c r="U590" s="649"/>
      <c r="V590" s="649"/>
      <c r="W590" s="649"/>
    </row>
    <row r="591" spans="1:23">
      <c r="A591" s="647"/>
      <c r="B591" s="648"/>
      <c r="C591" s="649"/>
      <c r="D591" s="649"/>
      <c r="I591" s="652"/>
      <c r="K591" s="652"/>
      <c r="M591" s="652"/>
      <c r="U591" s="649"/>
      <c r="V591" s="649"/>
      <c r="W591" s="649"/>
    </row>
    <row r="592" spans="1:23">
      <c r="A592" s="647"/>
      <c r="B592" s="648"/>
      <c r="C592" s="649"/>
      <c r="D592" s="649"/>
      <c r="I592" s="652"/>
      <c r="K592" s="652"/>
      <c r="M592" s="652"/>
      <c r="U592" s="649"/>
      <c r="V592" s="649"/>
      <c r="W592" s="649"/>
    </row>
    <row r="593" spans="1:23">
      <c r="A593" s="647"/>
      <c r="B593" s="648"/>
      <c r="C593" s="649"/>
      <c r="D593" s="649"/>
      <c r="I593" s="652"/>
      <c r="K593" s="652"/>
      <c r="M593" s="652"/>
      <c r="U593" s="649"/>
      <c r="V593" s="649"/>
      <c r="W593" s="649"/>
    </row>
    <row r="594" spans="1:23">
      <c r="A594" s="647"/>
      <c r="B594" s="648"/>
      <c r="C594" s="649"/>
      <c r="D594" s="649"/>
      <c r="I594" s="652"/>
      <c r="K594" s="652"/>
      <c r="M594" s="652"/>
      <c r="U594" s="649"/>
      <c r="V594" s="649"/>
      <c r="W594" s="649"/>
    </row>
    <row r="595" spans="1:23">
      <c r="A595" s="647"/>
      <c r="B595" s="648"/>
      <c r="C595" s="649"/>
      <c r="D595" s="649"/>
      <c r="I595" s="652"/>
      <c r="K595" s="652"/>
      <c r="M595" s="652"/>
      <c r="U595" s="649"/>
      <c r="V595" s="649"/>
      <c r="W595" s="649"/>
    </row>
    <row r="596" spans="1:23">
      <c r="A596" s="647"/>
      <c r="B596" s="648"/>
      <c r="C596" s="649"/>
      <c r="D596" s="649"/>
      <c r="I596" s="652"/>
      <c r="K596" s="652"/>
      <c r="M596" s="652"/>
      <c r="U596" s="649"/>
      <c r="V596" s="649"/>
      <c r="W596" s="649"/>
    </row>
    <row r="597" spans="1:23">
      <c r="A597" s="647"/>
      <c r="B597" s="648"/>
      <c r="C597" s="649"/>
      <c r="D597" s="649"/>
      <c r="I597" s="652"/>
      <c r="K597" s="652"/>
      <c r="M597" s="652"/>
      <c r="U597" s="649"/>
      <c r="V597" s="649"/>
      <c r="W597" s="649"/>
    </row>
    <row r="598" spans="1:23">
      <c r="A598" s="647"/>
      <c r="B598" s="648"/>
      <c r="C598" s="649"/>
      <c r="D598" s="649"/>
      <c r="I598" s="652"/>
      <c r="K598" s="652"/>
      <c r="M598" s="652"/>
      <c r="U598" s="649"/>
      <c r="V598" s="649"/>
      <c r="W598" s="649"/>
    </row>
    <row r="599" spans="1:23">
      <c r="A599" s="647"/>
      <c r="B599" s="648"/>
      <c r="C599" s="649"/>
      <c r="D599" s="649"/>
      <c r="I599" s="652"/>
      <c r="K599" s="652"/>
      <c r="M599" s="652"/>
      <c r="U599" s="649"/>
      <c r="V599" s="649"/>
      <c r="W599" s="649"/>
    </row>
    <row r="600" spans="1:23">
      <c r="A600" s="647"/>
      <c r="B600" s="648"/>
      <c r="C600" s="649"/>
      <c r="D600" s="649"/>
      <c r="I600" s="652"/>
      <c r="K600" s="652"/>
      <c r="M600" s="652"/>
      <c r="U600" s="649"/>
      <c r="V600" s="649"/>
      <c r="W600" s="649"/>
    </row>
    <row r="601" spans="1:23">
      <c r="A601" s="647"/>
      <c r="B601" s="648"/>
      <c r="C601" s="649"/>
      <c r="D601" s="649"/>
      <c r="I601" s="652"/>
      <c r="K601" s="652"/>
      <c r="M601" s="652"/>
      <c r="U601" s="649"/>
      <c r="V601" s="649"/>
      <c r="W601" s="649"/>
    </row>
    <row r="602" spans="1:23">
      <c r="A602" s="647"/>
      <c r="B602" s="648"/>
      <c r="C602" s="649"/>
      <c r="D602" s="649"/>
      <c r="I602" s="652"/>
      <c r="K602" s="652"/>
      <c r="M602" s="652"/>
      <c r="U602" s="649"/>
      <c r="V602" s="649"/>
      <c r="W602" s="649"/>
    </row>
    <row r="603" spans="1:23">
      <c r="A603" s="647"/>
      <c r="B603" s="648"/>
      <c r="C603" s="649"/>
      <c r="D603" s="649"/>
      <c r="I603" s="652"/>
      <c r="K603" s="652"/>
      <c r="M603" s="652"/>
      <c r="U603" s="649"/>
      <c r="V603" s="649"/>
      <c r="W603" s="649"/>
    </row>
    <row r="604" spans="1:23">
      <c r="A604" s="647"/>
      <c r="B604" s="648"/>
      <c r="C604" s="649"/>
      <c r="D604" s="649"/>
      <c r="I604" s="652"/>
      <c r="K604" s="652"/>
      <c r="M604" s="652"/>
      <c r="U604" s="649"/>
      <c r="V604" s="649"/>
      <c r="W604" s="649"/>
    </row>
    <row r="605" spans="1:23">
      <c r="A605" s="647"/>
      <c r="B605" s="648"/>
      <c r="C605" s="649"/>
      <c r="D605" s="649"/>
      <c r="I605" s="652"/>
      <c r="K605" s="652"/>
      <c r="M605" s="652"/>
      <c r="U605" s="649"/>
      <c r="V605" s="649"/>
      <c r="W605" s="649"/>
    </row>
    <row r="606" spans="1:23">
      <c r="A606" s="647"/>
      <c r="B606" s="648"/>
      <c r="C606" s="649"/>
      <c r="D606" s="649"/>
      <c r="I606" s="652"/>
      <c r="K606" s="652"/>
      <c r="M606" s="652"/>
      <c r="U606" s="649"/>
      <c r="V606" s="649"/>
      <c r="W606" s="649"/>
    </row>
    <row r="607" spans="1:23">
      <c r="A607" s="647"/>
      <c r="B607" s="648"/>
      <c r="C607" s="649"/>
      <c r="D607" s="649"/>
      <c r="I607" s="652"/>
      <c r="K607" s="652"/>
      <c r="M607" s="652"/>
      <c r="U607" s="649"/>
      <c r="V607" s="649"/>
      <c r="W607" s="649"/>
    </row>
    <row r="608" spans="1:23">
      <c r="A608" s="647"/>
      <c r="B608" s="648"/>
      <c r="C608" s="649"/>
      <c r="D608" s="649"/>
      <c r="I608" s="652"/>
      <c r="K608" s="652"/>
      <c r="M608" s="652"/>
      <c r="U608" s="649"/>
      <c r="V608" s="649"/>
      <c r="W608" s="649"/>
    </row>
    <row r="609" spans="1:23">
      <c r="A609" s="647"/>
      <c r="B609" s="648"/>
      <c r="C609" s="649"/>
      <c r="D609" s="649"/>
      <c r="I609" s="652"/>
      <c r="K609" s="652"/>
      <c r="M609" s="652"/>
      <c r="U609" s="649"/>
      <c r="V609" s="649"/>
      <c r="W609" s="649"/>
    </row>
    <row r="610" spans="1:23">
      <c r="A610" s="647"/>
      <c r="B610" s="648"/>
      <c r="C610" s="649"/>
      <c r="D610" s="649"/>
      <c r="I610" s="652"/>
      <c r="K610" s="652"/>
      <c r="M610" s="652"/>
      <c r="U610" s="649"/>
      <c r="V610" s="649"/>
      <c r="W610" s="649"/>
    </row>
    <row r="611" spans="1:23">
      <c r="A611" s="647"/>
      <c r="B611" s="648"/>
      <c r="C611" s="649"/>
      <c r="D611" s="649"/>
      <c r="I611" s="652"/>
      <c r="K611" s="652"/>
      <c r="M611" s="652"/>
      <c r="U611" s="649"/>
      <c r="V611" s="649"/>
      <c r="W611" s="649"/>
    </row>
    <row r="612" spans="1:23">
      <c r="A612" s="647"/>
      <c r="B612" s="648"/>
      <c r="C612" s="649"/>
      <c r="D612" s="649"/>
      <c r="I612" s="652"/>
      <c r="K612" s="652"/>
      <c r="M612" s="652"/>
      <c r="U612" s="649"/>
      <c r="V612" s="649"/>
      <c r="W612" s="649"/>
    </row>
    <row r="613" spans="1:23">
      <c r="A613" s="647"/>
      <c r="B613" s="648"/>
      <c r="C613" s="649"/>
      <c r="D613" s="649"/>
      <c r="I613" s="652"/>
      <c r="K613" s="652"/>
      <c r="M613" s="652"/>
      <c r="U613" s="649"/>
      <c r="V613" s="649"/>
      <c r="W613" s="649"/>
    </row>
    <row r="614" spans="1:23">
      <c r="A614" s="647"/>
      <c r="B614" s="648"/>
      <c r="C614" s="649"/>
      <c r="D614" s="649"/>
      <c r="I614" s="652"/>
      <c r="K614" s="652"/>
      <c r="M614" s="652"/>
      <c r="U614" s="649"/>
      <c r="V614" s="649"/>
      <c r="W614" s="649"/>
    </row>
    <row r="615" spans="1:23">
      <c r="A615" s="647"/>
      <c r="B615" s="648"/>
      <c r="C615" s="649"/>
      <c r="D615" s="649"/>
      <c r="I615" s="652"/>
      <c r="K615" s="652"/>
      <c r="M615" s="652"/>
      <c r="U615" s="649"/>
      <c r="V615" s="649"/>
      <c r="W615" s="649"/>
    </row>
    <row r="616" spans="1:23">
      <c r="A616" s="647"/>
      <c r="B616" s="648"/>
      <c r="C616" s="649"/>
      <c r="D616" s="649"/>
      <c r="I616" s="652"/>
      <c r="K616" s="652"/>
      <c r="M616" s="652"/>
      <c r="U616" s="649"/>
      <c r="V616" s="649"/>
      <c r="W616" s="649"/>
    </row>
    <row r="617" spans="1:23">
      <c r="A617" s="647"/>
      <c r="B617" s="648"/>
      <c r="C617" s="649"/>
      <c r="D617" s="649"/>
      <c r="I617" s="652"/>
      <c r="K617" s="652"/>
      <c r="M617" s="652"/>
      <c r="U617" s="649"/>
      <c r="V617" s="649"/>
      <c r="W617" s="649"/>
    </row>
    <row r="618" spans="1:23">
      <c r="A618" s="647"/>
      <c r="B618" s="648"/>
      <c r="C618" s="649"/>
      <c r="D618" s="649"/>
      <c r="I618" s="652"/>
      <c r="K618" s="652"/>
      <c r="M618" s="652"/>
      <c r="U618" s="649"/>
      <c r="V618" s="649"/>
      <c r="W618" s="649"/>
    </row>
    <row r="619" spans="1:23">
      <c r="A619" s="647"/>
      <c r="B619" s="648"/>
      <c r="C619" s="649"/>
      <c r="D619" s="649"/>
      <c r="I619" s="652"/>
      <c r="K619" s="652"/>
      <c r="M619" s="652"/>
      <c r="U619" s="649"/>
      <c r="V619" s="649"/>
      <c r="W619" s="649"/>
    </row>
    <row r="620" spans="1:23">
      <c r="A620" s="647"/>
      <c r="B620" s="648"/>
      <c r="C620" s="649"/>
      <c r="D620" s="649"/>
      <c r="I620" s="652"/>
      <c r="K620" s="652"/>
      <c r="M620" s="652"/>
      <c r="U620" s="649"/>
      <c r="V620" s="649"/>
      <c r="W620" s="649"/>
    </row>
    <row r="621" spans="1:23">
      <c r="A621" s="647"/>
      <c r="B621" s="648"/>
      <c r="C621" s="649"/>
      <c r="D621" s="649"/>
      <c r="I621" s="652"/>
      <c r="K621" s="652"/>
      <c r="M621" s="652"/>
      <c r="U621" s="649"/>
      <c r="V621" s="649"/>
      <c r="W621" s="649"/>
    </row>
    <row r="622" spans="1:23">
      <c r="A622" s="647"/>
      <c r="B622" s="648"/>
      <c r="C622" s="649"/>
      <c r="D622" s="649"/>
      <c r="I622" s="652"/>
      <c r="K622" s="652"/>
      <c r="M622" s="652"/>
      <c r="U622" s="649"/>
      <c r="V622" s="649"/>
      <c r="W622" s="649"/>
    </row>
    <row r="623" spans="1:23">
      <c r="A623" s="647"/>
      <c r="B623" s="648"/>
      <c r="C623" s="649"/>
      <c r="D623" s="649"/>
      <c r="I623" s="652"/>
      <c r="K623" s="652"/>
      <c r="M623" s="652"/>
      <c r="U623" s="649"/>
      <c r="V623" s="649"/>
      <c r="W623" s="649"/>
    </row>
    <row r="624" spans="1:23">
      <c r="A624" s="647"/>
      <c r="B624" s="648"/>
      <c r="C624" s="649"/>
      <c r="D624" s="649"/>
      <c r="I624" s="652"/>
      <c r="K624" s="652"/>
      <c r="M624" s="652"/>
      <c r="U624" s="649"/>
      <c r="V624" s="649"/>
      <c r="W624" s="649"/>
    </row>
    <row r="625" spans="1:23">
      <c r="A625" s="647"/>
      <c r="B625" s="648"/>
      <c r="C625" s="649"/>
      <c r="D625" s="649"/>
      <c r="I625" s="652"/>
      <c r="K625" s="652"/>
      <c r="M625" s="652"/>
      <c r="U625" s="649"/>
      <c r="V625" s="649"/>
      <c r="W625" s="649"/>
    </row>
    <row r="626" spans="1:23">
      <c r="A626" s="647"/>
      <c r="B626" s="648"/>
      <c r="C626" s="649"/>
      <c r="D626" s="649"/>
      <c r="I626" s="652"/>
      <c r="K626" s="652"/>
      <c r="M626" s="652"/>
      <c r="U626" s="649"/>
      <c r="V626" s="649"/>
      <c r="W626" s="649"/>
    </row>
    <row r="627" spans="1:23">
      <c r="A627" s="647"/>
      <c r="B627" s="648"/>
      <c r="C627" s="649"/>
      <c r="D627" s="649"/>
      <c r="I627" s="652"/>
      <c r="K627" s="652"/>
      <c r="M627" s="652"/>
      <c r="U627" s="649"/>
      <c r="V627" s="649"/>
      <c r="W627" s="649"/>
    </row>
    <row r="628" spans="1:23">
      <c r="A628" s="647"/>
      <c r="B628" s="648"/>
      <c r="C628" s="649"/>
      <c r="D628" s="649"/>
      <c r="I628" s="652"/>
      <c r="K628" s="652"/>
      <c r="M628" s="652"/>
      <c r="U628" s="649"/>
      <c r="V628" s="649"/>
      <c r="W628" s="649"/>
    </row>
    <row r="629" spans="1:23">
      <c r="A629" s="647"/>
      <c r="B629" s="648"/>
      <c r="C629" s="649"/>
      <c r="D629" s="649"/>
      <c r="I629" s="652"/>
      <c r="K629" s="652"/>
      <c r="M629" s="652"/>
      <c r="U629" s="649"/>
      <c r="V629" s="649"/>
      <c r="W629" s="649"/>
    </row>
    <row r="630" spans="1:23">
      <c r="A630" s="647"/>
      <c r="B630" s="648"/>
      <c r="C630" s="649"/>
      <c r="D630" s="649"/>
      <c r="I630" s="652"/>
      <c r="K630" s="652"/>
      <c r="M630" s="652"/>
      <c r="U630" s="649"/>
      <c r="V630" s="649"/>
      <c r="W630" s="649"/>
    </row>
    <row r="631" spans="1:23">
      <c r="A631" s="647"/>
      <c r="B631" s="648"/>
      <c r="C631" s="649"/>
      <c r="D631" s="649"/>
      <c r="I631" s="652"/>
      <c r="K631" s="652"/>
      <c r="M631" s="652"/>
      <c r="U631" s="649"/>
      <c r="V631" s="649"/>
      <c r="W631" s="649"/>
    </row>
    <row r="632" spans="1:23">
      <c r="A632" s="647"/>
      <c r="B632" s="648"/>
      <c r="C632" s="649"/>
      <c r="D632" s="649"/>
      <c r="I632" s="652"/>
      <c r="K632" s="652"/>
      <c r="M632" s="652"/>
      <c r="U632" s="649"/>
      <c r="V632" s="649"/>
      <c r="W632" s="649"/>
    </row>
    <row r="633" spans="1:23">
      <c r="A633" s="647"/>
      <c r="B633" s="648"/>
      <c r="C633" s="649"/>
      <c r="D633" s="649"/>
      <c r="I633" s="652"/>
      <c r="K633" s="652"/>
      <c r="M633" s="652"/>
      <c r="U633" s="649"/>
      <c r="V633" s="649"/>
      <c r="W633" s="649"/>
    </row>
    <row r="634" spans="1:23">
      <c r="A634" s="647"/>
      <c r="B634" s="648"/>
      <c r="C634" s="649"/>
      <c r="D634" s="649"/>
      <c r="I634" s="652"/>
      <c r="K634" s="652"/>
      <c r="M634" s="652"/>
      <c r="U634" s="649"/>
      <c r="V634" s="649"/>
      <c r="W634" s="649"/>
    </row>
    <row r="635" spans="1:23">
      <c r="A635" s="647"/>
      <c r="B635" s="648"/>
      <c r="C635" s="649"/>
      <c r="D635" s="649"/>
      <c r="I635" s="652"/>
      <c r="K635" s="652"/>
      <c r="M635" s="652"/>
      <c r="U635" s="649"/>
      <c r="V635" s="649"/>
      <c r="W635" s="649"/>
    </row>
    <row r="636" spans="1:23">
      <c r="A636" s="647"/>
      <c r="B636" s="648"/>
      <c r="C636" s="649"/>
      <c r="D636" s="649"/>
      <c r="I636" s="652"/>
      <c r="K636" s="652"/>
      <c r="M636" s="652"/>
      <c r="U636" s="649"/>
      <c r="V636" s="649"/>
      <c r="W636" s="649"/>
    </row>
    <row r="637" spans="1:23">
      <c r="A637" s="647"/>
      <c r="B637" s="648"/>
      <c r="C637" s="649"/>
      <c r="D637" s="649"/>
      <c r="I637" s="652"/>
      <c r="K637" s="652"/>
      <c r="M637" s="652"/>
      <c r="U637" s="649"/>
      <c r="V637" s="649"/>
      <c r="W637" s="649"/>
    </row>
    <row r="638" spans="1:23">
      <c r="A638" s="647"/>
      <c r="B638" s="648"/>
      <c r="C638" s="649"/>
      <c r="D638" s="649"/>
      <c r="I638" s="652"/>
      <c r="K638" s="652"/>
      <c r="M638" s="652"/>
      <c r="U638" s="649"/>
      <c r="V638" s="649"/>
      <c r="W638" s="649"/>
    </row>
    <row r="639" spans="1:23">
      <c r="A639" s="647"/>
      <c r="B639" s="648"/>
      <c r="C639" s="649"/>
      <c r="D639" s="649"/>
      <c r="I639" s="652"/>
      <c r="K639" s="652"/>
      <c r="M639" s="652"/>
      <c r="U639" s="649"/>
      <c r="V639" s="649"/>
      <c r="W639" s="649"/>
    </row>
    <row r="640" spans="1:23">
      <c r="A640" s="647"/>
      <c r="B640" s="648"/>
      <c r="C640" s="649"/>
      <c r="D640" s="649"/>
      <c r="I640" s="652"/>
      <c r="K640" s="652"/>
      <c r="M640" s="652"/>
      <c r="U640" s="649"/>
      <c r="V640" s="649"/>
      <c r="W640" s="649"/>
    </row>
    <row r="641" spans="1:23">
      <c r="A641" s="647"/>
      <c r="B641" s="648"/>
      <c r="C641" s="649"/>
      <c r="D641" s="649"/>
      <c r="I641" s="652"/>
      <c r="K641" s="652"/>
      <c r="M641" s="652"/>
      <c r="U641" s="649"/>
      <c r="V641" s="649"/>
      <c r="W641" s="649"/>
    </row>
    <row r="642" spans="1:23">
      <c r="A642" s="647"/>
      <c r="B642" s="648"/>
      <c r="C642" s="649"/>
      <c r="D642" s="649"/>
      <c r="I642" s="652"/>
      <c r="K642" s="652"/>
      <c r="M642" s="652"/>
      <c r="U642" s="649"/>
      <c r="V642" s="649"/>
      <c r="W642" s="649"/>
    </row>
    <row r="643" spans="1:23">
      <c r="A643" s="647"/>
      <c r="B643" s="648"/>
      <c r="C643" s="649"/>
      <c r="D643" s="649"/>
      <c r="I643" s="652"/>
      <c r="K643" s="652"/>
      <c r="M643" s="652"/>
      <c r="U643" s="649"/>
      <c r="V643" s="649"/>
      <c r="W643" s="649"/>
    </row>
    <row r="644" spans="1:23">
      <c r="A644" s="647"/>
      <c r="B644" s="648"/>
      <c r="C644" s="649"/>
      <c r="D644" s="649"/>
      <c r="I644" s="652"/>
      <c r="K644" s="652"/>
      <c r="M644" s="652"/>
      <c r="U644" s="649"/>
      <c r="V644" s="649"/>
      <c r="W644" s="649"/>
    </row>
    <row r="645" spans="1:23">
      <c r="A645" s="647"/>
      <c r="B645" s="648"/>
      <c r="C645" s="649"/>
      <c r="D645" s="649"/>
      <c r="I645" s="652"/>
      <c r="K645" s="652"/>
      <c r="M645" s="652"/>
      <c r="U645" s="649"/>
      <c r="V645" s="649"/>
      <c r="W645" s="649"/>
    </row>
    <row r="646" spans="1:23">
      <c r="A646" s="647"/>
      <c r="B646" s="648"/>
      <c r="C646" s="649"/>
      <c r="D646" s="649"/>
      <c r="I646" s="652"/>
      <c r="K646" s="652"/>
      <c r="M646" s="652"/>
      <c r="U646" s="649"/>
      <c r="V646" s="649"/>
      <c r="W646" s="649"/>
    </row>
    <row r="647" spans="1:23">
      <c r="A647" s="647"/>
      <c r="B647" s="648"/>
      <c r="C647" s="649"/>
      <c r="D647" s="649"/>
      <c r="I647" s="652"/>
      <c r="K647" s="652"/>
      <c r="M647" s="652"/>
      <c r="U647" s="649"/>
      <c r="V647" s="649"/>
      <c r="W647" s="649"/>
    </row>
    <row r="648" spans="1:23">
      <c r="A648" s="647"/>
      <c r="B648" s="648"/>
      <c r="C648" s="649"/>
      <c r="D648" s="649"/>
      <c r="I648" s="652"/>
      <c r="K648" s="652"/>
      <c r="M648" s="652"/>
      <c r="U648" s="649"/>
      <c r="V648" s="649"/>
      <c r="W648" s="649"/>
    </row>
    <row r="649" spans="1:23">
      <c r="A649" s="647"/>
      <c r="B649" s="648"/>
      <c r="C649" s="649"/>
      <c r="D649" s="649"/>
      <c r="I649" s="652"/>
      <c r="K649" s="652"/>
      <c r="M649" s="652"/>
      <c r="U649" s="649"/>
      <c r="V649" s="649"/>
      <c r="W649" s="649"/>
    </row>
    <row r="650" spans="1:23">
      <c r="A650" s="647"/>
      <c r="B650" s="648"/>
      <c r="C650" s="649"/>
      <c r="D650" s="649"/>
      <c r="I650" s="652"/>
      <c r="K650" s="652"/>
      <c r="M650" s="652"/>
      <c r="U650" s="649"/>
      <c r="V650" s="649"/>
      <c r="W650" s="649"/>
    </row>
    <row r="651" spans="1:23">
      <c r="A651" s="647"/>
      <c r="B651" s="648"/>
      <c r="C651" s="649"/>
      <c r="D651" s="649"/>
      <c r="I651" s="652"/>
      <c r="K651" s="652"/>
      <c r="M651" s="652"/>
      <c r="U651" s="649"/>
      <c r="V651" s="649"/>
      <c r="W651" s="649"/>
    </row>
    <row r="652" spans="1:23">
      <c r="A652" s="647"/>
      <c r="B652" s="648"/>
      <c r="C652" s="649"/>
      <c r="D652" s="649"/>
      <c r="I652" s="652"/>
      <c r="K652" s="652"/>
      <c r="M652" s="652"/>
      <c r="U652" s="649"/>
      <c r="V652" s="649"/>
      <c r="W652" s="649"/>
    </row>
    <row r="653" spans="1:23">
      <c r="A653" s="647"/>
      <c r="B653" s="648"/>
      <c r="C653" s="649"/>
      <c r="D653" s="649"/>
      <c r="I653" s="652"/>
      <c r="K653" s="652"/>
      <c r="M653" s="652"/>
      <c r="U653" s="649"/>
      <c r="V653" s="649"/>
      <c r="W653" s="649"/>
    </row>
    <row r="654" spans="1:23">
      <c r="A654" s="647"/>
      <c r="B654" s="648"/>
      <c r="C654" s="649"/>
      <c r="D654" s="649"/>
      <c r="I654" s="652"/>
      <c r="K654" s="652"/>
      <c r="M654" s="652"/>
      <c r="U654" s="649"/>
      <c r="V654" s="649"/>
      <c r="W654" s="649"/>
    </row>
    <row r="655" spans="1:23">
      <c r="A655" s="647"/>
      <c r="B655" s="648"/>
      <c r="C655" s="649"/>
      <c r="D655" s="649"/>
      <c r="I655" s="652"/>
      <c r="K655" s="652"/>
      <c r="M655" s="652"/>
      <c r="U655" s="649"/>
      <c r="V655" s="649"/>
      <c r="W655" s="649"/>
    </row>
    <row r="656" spans="1:23">
      <c r="A656" s="647"/>
      <c r="B656" s="648"/>
      <c r="C656" s="649"/>
      <c r="D656" s="649"/>
      <c r="I656" s="652"/>
      <c r="K656" s="652"/>
      <c r="M656" s="652"/>
      <c r="U656" s="649"/>
      <c r="V656" s="649"/>
      <c r="W656" s="649"/>
    </row>
    <row r="657" spans="1:23">
      <c r="A657" s="647"/>
      <c r="B657" s="648"/>
      <c r="C657" s="649"/>
      <c r="D657" s="649"/>
      <c r="I657" s="652"/>
      <c r="K657" s="652"/>
      <c r="M657" s="652"/>
      <c r="U657" s="649"/>
      <c r="V657" s="649"/>
      <c r="W657" s="649"/>
    </row>
    <row r="658" spans="1:23">
      <c r="A658" s="647"/>
      <c r="B658" s="648"/>
      <c r="C658" s="649"/>
      <c r="D658" s="649"/>
      <c r="I658" s="652"/>
      <c r="K658" s="652"/>
      <c r="M658" s="652"/>
      <c r="U658" s="649"/>
      <c r="V658" s="649"/>
      <c r="W658" s="649"/>
    </row>
    <row r="659" spans="1:23">
      <c r="A659" s="647"/>
      <c r="B659" s="648"/>
      <c r="C659" s="649"/>
      <c r="D659" s="649"/>
      <c r="I659" s="652"/>
      <c r="K659" s="652"/>
      <c r="M659" s="652"/>
      <c r="U659" s="649"/>
      <c r="V659" s="649"/>
      <c r="W659" s="649"/>
    </row>
    <row r="660" spans="1:23">
      <c r="A660" s="647"/>
      <c r="B660" s="648"/>
      <c r="C660" s="649"/>
      <c r="D660" s="649"/>
      <c r="I660" s="652"/>
      <c r="K660" s="652"/>
      <c r="M660" s="652"/>
      <c r="U660" s="649"/>
      <c r="V660" s="649"/>
      <c r="W660" s="649"/>
    </row>
    <row r="661" spans="1:23">
      <c r="A661" s="647"/>
      <c r="B661" s="648"/>
      <c r="C661" s="649"/>
      <c r="D661" s="649"/>
      <c r="I661" s="652"/>
      <c r="K661" s="652"/>
      <c r="M661" s="652"/>
      <c r="U661" s="649"/>
      <c r="V661" s="649"/>
      <c r="W661" s="649"/>
    </row>
    <row r="662" spans="1:23">
      <c r="A662" s="647"/>
      <c r="B662" s="648"/>
      <c r="C662" s="649"/>
      <c r="D662" s="649"/>
      <c r="I662" s="652"/>
      <c r="K662" s="652"/>
      <c r="M662" s="652"/>
      <c r="U662" s="649"/>
      <c r="V662" s="649"/>
      <c r="W662" s="649"/>
    </row>
    <row r="663" spans="1:23">
      <c r="A663" s="647"/>
      <c r="B663" s="648"/>
      <c r="C663" s="649"/>
      <c r="D663" s="649"/>
      <c r="I663" s="652"/>
      <c r="K663" s="652"/>
      <c r="M663" s="652"/>
      <c r="U663" s="649"/>
      <c r="V663" s="649"/>
      <c r="W663" s="649"/>
    </row>
    <row r="664" spans="1:23">
      <c r="A664" s="647"/>
      <c r="B664" s="648"/>
      <c r="C664" s="649"/>
      <c r="D664" s="649"/>
      <c r="I664" s="652"/>
      <c r="K664" s="652"/>
      <c r="M664" s="652"/>
      <c r="U664" s="649"/>
      <c r="V664" s="649"/>
      <c r="W664" s="649"/>
    </row>
    <row r="665" spans="1:23">
      <c r="A665" s="647"/>
      <c r="B665" s="648"/>
      <c r="C665" s="649"/>
      <c r="D665" s="649"/>
      <c r="I665" s="652"/>
      <c r="K665" s="652"/>
      <c r="M665" s="652"/>
      <c r="U665" s="649"/>
      <c r="V665" s="649"/>
      <c r="W665" s="649"/>
    </row>
    <row r="666" spans="1:23">
      <c r="A666" s="647"/>
      <c r="B666" s="648"/>
      <c r="C666" s="649"/>
      <c r="D666" s="649"/>
      <c r="I666" s="652"/>
      <c r="K666" s="652"/>
      <c r="M666" s="652"/>
      <c r="U666" s="649"/>
      <c r="V666" s="649"/>
      <c r="W666" s="649"/>
    </row>
    <row r="667" spans="1:23">
      <c r="A667" s="647"/>
      <c r="B667" s="648"/>
      <c r="C667" s="649"/>
      <c r="D667" s="649"/>
      <c r="I667" s="652"/>
      <c r="K667" s="652"/>
      <c r="M667" s="652"/>
      <c r="U667" s="649"/>
      <c r="V667" s="649"/>
      <c r="W667" s="649"/>
    </row>
    <row r="668" spans="1:23">
      <c r="A668" s="647"/>
      <c r="B668" s="648"/>
      <c r="C668" s="649"/>
      <c r="D668" s="649"/>
      <c r="I668" s="652"/>
      <c r="K668" s="652"/>
      <c r="M668" s="652"/>
      <c r="U668" s="649"/>
      <c r="V668" s="649"/>
      <c r="W668" s="649"/>
    </row>
    <row r="669" spans="1:23">
      <c r="A669" s="647"/>
      <c r="B669" s="648"/>
      <c r="C669" s="649"/>
      <c r="D669" s="649"/>
      <c r="I669" s="652"/>
      <c r="K669" s="652"/>
      <c r="M669" s="652"/>
      <c r="U669" s="649"/>
      <c r="V669" s="649"/>
      <c r="W669" s="649"/>
    </row>
    <row r="670" spans="1:23">
      <c r="A670" s="647"/>
      <c r="B670" s="648"/>
      <c r="C670" s="649"/>
      <c r="D670" s="649"/>
      <c r="I670" s="652"/>
      <c r="K670" s="652"/>
      <c r="M670" s="652"/>
      <c r="U670" s="649"/>
      <c r="V670" s="649"/>
      <c r="W670" s="649"/>
    </row>
    <row r="671" spans="1:23">
      <c r="A671" s="647"/>
      <c r="B671" s="648"/>
      <c r="C671" s="649"/>
      <c r="D671" s="649"/>
      <c r="I671" s="652"/>
      <c r="K671" s="652"/>
      <c r="M671" s="652"/>
      <c r="U671" s="649"/>
      <c r="V671" s="649"/>
      <c r="W671" s="649"/>
    </row>
    <row r="672" spans="1:23">
      <c r="A672" s="647"/>
      <c r="B672" s="648"/>
      <c r="C672" s="649"/>
      <c r="D672" s="649"/>
      <c r="I672" s="652"/>
      <c r="K672" s="652"/>
      <c r="M672" s="652"/>
      <c r="U672" s="649"/>
      <c r="V672" s="649"/>
      <c r="W672" s="649"/>
    </row>
    <row r="673" spans="1:23">
      <c r="A673" s="647"/>
      <c r="B673" s="648"/>
      <c r="C673" s="649"/>
      <c r="D673" s="649"/>
      <c r="I673" s="652"/>
      <c r="K673" s="652"/>
      <c r="M673" s="652"/>
      <c r="U673" s="649"/>
      <c r="V673" s="649"/>
      <c r="W673" s="649"/>
    </row>
    <row r="674" spans="1:23">
      <c r="A674" s="647"/>
      <c r="B674" s="648"/>
      <c r="C674" s="649"/>
      <c r="D674" s="649"/>
      <c r="I674" s="652"/>
      <c r="K674" s="652"/>
      <c r="M674" s="652"/>
      <c r="U674" s="649"/>
      <c r="V674" s="649"/>
      <c r="W674" s="649"/>
    </row>
    <row r="675" spans="1:23">
      <c r="A675" s="647"/>
      <c r="B675" s="648"/>
      <c r="C675" s="649"/>
      <c r="D675" s="649"/>
      <c r="I675" s="652"/>
      <c r="K675" s="652"/>
      <c r="M675" s="652"/>
      <c r="U675" s="649"/>
      <c r="V675" s="649"/>
      <c r="W675" s="649"/>
    </row>
    <row r="676" spans="1:23">
      <c r="A676" s="647"/>
      <c r="B676" s="648"/>
      <c r="C676" s="649"/>
      <c r="D676" s="649"/>
      <c r="I676" s="652"/>
      <c r="K676" s="652"/>
      <c r="M676" s="652"/>
      <c r="U676" s="649"/>
      <c r="V676" s="649"/>
      <c r="W676" s="649"/>
    </row>
    <row r="677" spans="1:23">
      <c r="A677" s="647"/>
      <c r="B677" s="648"/>
      <c r="C677" s="649"/>
      <c r="D677" s="649"/>
      <c r="I677" s="652"/>
      <c r="K677" s="652"/>
      <c r="M677" s="652"/>
      <c r="U677" s="649"/>
      <c r="V677" s="649"/>
      <c r="W677" s="649"/>
    </row>
    <row r="678" spans="1:23">
      <c r="A678" s="647"/>
      <c r="B678" s="648"/>
      <c r="C678" s="649"/>
      <c r="D678" s="649"/>
      <c r="I678" s="652"/>
      <c r="K678" s="652"/>
      <c r="M678" s="652"/>
      <c r="U678" s="649"/>
      <c r="V678" s="649"/>
      <c r="W678" s="649"/>
    </row>
    <row r="679" spans="1:23">
      <c r="A679" s="647"/>
      <c r="B679" s="648"/>
      <c r="C679" s="649"/>
      <c r="D679" s="649"/>
      <c r="I679" s="652"/>
      <c r="K679" s="652"/>
      <c r="M679" s="652"/>
      <c r="U679" s="649"/>
      <c r="V679" s="649"/>
      <c r="W679" s="649"/>
    </row>
    <row r="680" spans="1:23">
      <c r="A680" s="647"/>
      <c r="B680" s="648"/>
      <c r="C680" s="649"/>
      <c r="D680" s="649"/>
      <c r="I680" s="652"/>
      <c r="K680" s="652"/>
      <c r="M680" s="652"/>
      <c r="U680" s="649"/>
      <c r="V680" s="649"/>
      <c r="W680" s="649"/>
    </row>
    <row r="681" spans="1:23">
      <c r="A681" s="647"/>
      <c r="B681" s="648"/>
      <c r="C681" s="649"/>
      <c r="D681" s="649"/>
      <c r="I681" s="652"/>
      <c r="K681" s="652"/>
      <c r="M681" s="652"/>
      <c r="U681" s="649"/>
      <c r="V681" s="649"/>
      <c r="W681" s="649"/>
    </row>
    <row r="682" spans="1:23">
      <c r="A682" s="647"/>
      <c r="B682" s="648"/>
      <c r="C682" s="649"/>
      <c r="D682" s="649"/>
      <c r="I682" s="652"/>
      <c r="K682" s="652"/>
      <c r="M682" s="652"/>
      <c r="U682" s="649"/>
      <c r="V682" s="649"/>
      <c r="W682" s="649"/>
    </row>
    <row r="683" spans="1:23">
      <c r="A683" s="647"/>
      <c r="B683" s="648"/>
      <c r="C683" s="649"/>
      <c r="D683" s="649"/>
      <c r="I683" s="652"/>
      <c r="K683" s="652"/>
      <c r="M683" s="652"/>
      <c r="U683" s="649"/>
      <c r="V683" s="649"/>
      <c r="W683" s="649"/>
    </row>
    <row r="684" spans="1:23">
      <c r="A684" s="647"/>
      <c r="B684" s="648"/>
      <c r="C684" s="649"/>
      <c r="D684" s="649"/>
      <c r="I684" s="652"/>
      <c r="K684" s="652"/>
      <c r="M684" s="652"/>
      <c r="U684" s="649"/>
      <c r="V684" s="649"/>
      <c r="W684" s="649"/>
    </row>
    <row r="685" spans="1:23">
      <c r="A685" s="647"/>
      <c r="B685" s="648"/>
      <c r="C685" s="649"/>
      <c r="D685" s="649"/>
      <c r="I685" s="652"/>
      <c r="K685" s="652"/>
      <c r="M685" s="652"/>
      <c r="U685" s="649"/>
      <c r="V685" s="649"/>
      <c r="W685" s="649"/>
    </row>
    <row r="686" spans="1:23">
      <c r="A686" s="647"/>
      <c r="B686" s="648"/>
      <c r="C686" s="649"/>
      <c r="D686" s="649"/>
      <c r="I686" s="652"/>
      <c r="K686" s="652"/>
      <c r="M686" s="652"/>
      <c r="U686" s="649"/>
      <c r="V686" s="649"/>
      <c r="W686" s="649"/>
    </row>
    <row r="687" spans="1:23">
      <c r="A687" s="647"/>
      <c r="B687" s="648"/>
      <c r="C687" s="649"/>
      <c r="D687" s="649"/>
      <c r="I687" s="652"/>
      <c r="K687" s="652"/>
      <c r="M687" s="652"/>
      <c r="U687" s="649"/>
      <c r="V687" s="649"/>
      <c r="W687" s="649"/>
    </row>
    <row r="688" spans="1:23">
      <c r="A688" s="647"/>
      <c r="B688" s="648"/>
      <c r="C688" s="649"/>
      <c r="D688" s="649"/>
      <c r="I688" s="652"/>
      <c r="K688" s="652"/>
      <c r="M688" s="652"/>
      <c r="U688" s="649"/>
      <c r="V688" s="649"/>
      <c r="W688" s="649"/>
    </row>
    <row r="689" spans="1:23">
      <c r="A689" s="647"/>
      <c r="B689" s="648"/>
      <c r="C689" s="649"/>
      <c r="D689" s="649"/>
      <c r="I689" s="652"/>
      <c r="K689" s="652"/>
      <c r="M689" s="652"/>
      <c r="U689" s="649"/>
      <c r="V689" s="649"/>
      <c r="W689" s="649"/>
    </row>
    <row r="690" spans="1:23">
      <c r="A690" s="647"/>
      <c r="B690" s="648"/>
      <c r="C690" s="649"/>
      <c r="D690" s="649"/>
      <c r="I690" s="652"/>
      <c r="K690" s="652"/>
      <c r="M690" s="652"/>
      <c r="U690" s="649"/>
      <c r="V690" s="649"/>
      <c r="W690" s="649"/>
    </row>
    <row r="691" spans="1:23">
      <c r="A691" s="647"/>
      <c r="B691" s="648"/>
      <c r="C691" s="649"/>
      <c r="D691" s="649"/>
      <c r="I691" s="652"/>
      <c r="K691" s="652"/>
      <c r="M691" s="652"/>
      <c r="U691" s="649"/>
      <c r="V691" s="649"/>
      <c r="W691" s="649"/>
    </row>
    <row r="692" spans="1:23">
      <c r="A692" s="647"/>
      <c r="B692" s="648"/>
      <c r="C692" s="649"/>
      <c r="D692" s="649"/>
      <c r="I692" s="652"/>
      <c r="K692" s="652"/>
      <c r="M692" s="652"/>
      <c r="U692" s="649"/>
      <c r="V692" s="649"/>
      <c r="W692" s="649"/>
    </row>
    <row r="693" spans="1:23">
      <c r="A693" s="647"/>
      <c r="B693" s="648"/>
      <c r="C693" s="649"/>
      <c r="D693" s="649"/>
      <c r="I693" s="652"/>
      <c r="K693" s="652"/>
      <c r="M693" s="652"/>
      <c r="U693" s="649"/>
      <c r="V693" s="649"/>
      <c r="W693" s="649"/>
    </row>
    <row r="694" spans="1:23">
      <c r="A694" s="647"/>
      <c r="B694" s="648"/>
      <c r="C694" s="649"/>
      <c r="D694" s="649"/>
      <c r="I694" s="652"/>
      <c r="K694" s="652"/>
      <c r="M694" s="652"/>
      <c r="U694" s="649"/>
      <c r="V694" s="649"/>
      <c r="W694" s="649"/>
    </row>
    <row r="695" spans="1:23">
      <c r="A695" s="647"/>
      <c r="B695" s="648"/>
      <c r="C695" s="649"/>
      <c r="D695" s="649"/>
      <c r="I695" s="652"/>
      <c r="K695" s="652"/>
      <c r="M695" s="652"/>
      <c r="U695" s="649"/>
      <c r="V695" s="649"/>
      <c r="W695" s="649"/>
    </row>
    <row r="696" spans="1:23">
      <c r="A696" s="647"/>
      <c r="B696" s="648"/>
      <c r="C696" s="649"/>
      <c r="D696" s="649"/>
      <c r="I696" s="652"/>
      <c r="K696" s="652"/>
      <c r="M696" s="652"/>
      <c r="U696" s="649"/>
      <c r="V696" s="649"/>
      <c r="W696" s="649"/>
    </row>
    <row r="697" spans="1:23">
      <c r="A697" s="647"/>
      <c r="B697" s="648"/>
      <c r="C697" s="649"/>
      <c r="D697" s="649"/>
      <c r="I697" s="652"/>
      <c r="K697" s="652"/>
      <c r="M697" s="652"/>
      <c r="U697" s="649"/>
      <c r="V697" s="649"/>
      <c r="W697" s="649"/>
    </row>
    <row r="698" spans="1:23">
      <c r="A698" s="647"/>
      <c r="B698" s="648"/>
      <c r="C698" s="649"/>
      <c r="D698" s="649"/>
      <c r="I698" s="652"/>
      <c r="K698" s="652"/>
      <c r="M698" s="652"/>
      <c r="U698" s="649"/>
      <c r="V698" s="649"/>
      <c r="W698" s="649"/>
    </row>
    <row r="699" spans="1:23">
      <c r="A699" s="647"/>
      <c r="B699" s="648"/>
      <c r="C699" s="649"/>
      <c r="D699" s="649"/>
      <c r="I699" s="652"/>
      <c r="K699" s="652"/>
      <c r="M699" s="652"/>
      <c r="U699" s="649"/>
      <c r="V699" s="649"/>
      <c r="W699" s="649"/>
    </row>
    <row r="700" spans="1:23">
      <c r="A700" s="647"/>
      <c r="B700" s="648"/>
      <c r="C700" s="649"/>
      <c r="D700" s="649"/>
      <c r="I700" s="652"/>
      <c r="K700" s="652"/>
      <c r="M700" s="652"/>
      <c r="U700" s="649"/>
      <c r="V700" s="649"/>
      <c r="W700" s="649"/>
    </row>
    <row r="701" spans="1:23">
      <c r="A701" s="647"/>
      <c r="B701" s="648"/>
      <c r="C701" s="649"/>
      <c r="D701" s="649"/>
      <c r="I701" s="652"/>
      <c r="K701" s="652"/>
      <c r="M701" s="652"/>
      <c r="U701" s="649"/>
      <c r="V701" s="649"/>
      <c r="W701" s="649"/>
    </row>
    <row r="702" spans="1:23">
      <c r="A702" s="647"/>
      <c r="B702" s="648"/>
      <c r="C702" s="649"/>
      <c r="D702" s="649"/>
      <c r="I702" s="652"/>
      <c r="K702" s="652"/>
      <c r="M702" s="652"/>
      <c r="U702" s="649"/>
      <c r="V702" s="649"/>
      <c r="W702" s="649"/>
    </row>
    <row r="703" spans="1:23">
      <c r="A703" s="647"/>
      <c r="B703" s="648"/>
      <c r="C703" s="649"/>
      <c r="D703" s="649"/>
      <c r="I703" s="652"/>
      <c r="K703" s="652"/>
      <c r="M703" s="652"/>
      <c r="U703" s="649"/>
      <c r="V703" s="649"/>
      <c r="W703" s="649"/>
    </row>
    <row r="704" spans="1:23">
      <c r="A704" s="647"/>
      <c r="B704" s="648"/>
      <c r="C704" s="649"/>
      <c r="D704" s="649"/>
      <c r="I704" s="652"/>
      <c r="K704" s="652"/>
      <c r="M704" s="652"/>
      <c r="U704" s="649"/>
      <c r="V704" s="649"/>
      <c r="W704" s="649"/>
    </row>
    <row r="705" spans="1:23">
      <c r="A705" s="647"/>
      <c r="B705" s="648"/>
      <c r="C705" s="649"/>
      <c r="D705" s="649"/>
      <c r="I705" s="652"/>
      <c r="K705" s="652"/>
      <c r="M705" s="652"/>
      <c r="U705" s="649"/>
      <c r="V705" s="649"/>
      <c r="W705" s="649"/>
    </row>
    <row r="706" spans="1:23">
      <c r="A706" s="647"/>
      <c r="B706" s="648"/>
      <c r="C706" s="649"/>
      <c r="D706" s="649"/>
      <c r="I706" s="652"/>
      <c r="K706" s="652"/>
      <c r="M706" s="652"/>
      <c r="U706" s="649"/>
      <c r="V706" s="649"/>
      <c r="W706" s="649"/>
    </row>
    <row r="707" spans="1:23">
      <c r="A707" s="647"/>
      <c r="B707" s="648"/>
      <c r="C707" s="649"/>
      <c r="D707" s="649"/>
      <c r="I707" s="652"/>
      <c r="K707" s="652"/>
      <c r="M707" s="652"/>
      <c r="U707" s="649"/>
      <c r="V707" s="649"/>
      <c r="W707" s="649"/>
    </row>
    <row r="708" spans="1:23">
      <c r="A708" s="647"/>
      <c r="B708" s="648"/>
      <c r="C708" s="649"/>
      <c r="D708" s="649"/>
      <c r="I708" s="652"/>
      <c r="K708" s="652"/>
      <c r="M708" s="652"/>
      <c r="U708" s="649"/>
      <c r="V708" s="649"/>
      <c r="W708" s="649"/>
    </row>
    <row r="709" spans="1:23">
      <c r="A709" s="647"/>
      <c r="B709" s="648"/>
      <c r="C709" s="649"/>
      <c r="D709" s="649"/>
      <c r="I709" s="652"/>
      <c r="K709" s="652"/>
      <c r="M709" s="652"/>
      <c r="U709" s="649"/>
      <c r="V709" s="649"/>
      <c r="W709" s="649"/>
    </row>
    <row r="710" spans="1:23">
      <c r="A710" s="647"/>
      <c r="B710" s="648"/>
      <c r="C710" s="649"/>
      <c r="D710" s="649"/>
      <c r="I710" s="652"/>
      <c r="K710" s="652"/>
      <c r="M710" s="652"/>
      <c r="U710" s="649"/>
      <c r="V710" s="649"/>
      <c r="W710" s="649"/>
    </row>
    <row r="711" spans="1:23">
      <c r="A711" s="647"/>
      <c r="B711" s="648"/>
      <c r="C711" s="649"/>
      <c r="D711" s="649"/>
      <c r="I711" s="652"/>
      <c r="K711" s="652"/>
      <c r="M711" s="652"/>
      <c r="U711" s="649"/>
      <c r="V711" s="649"/>
      <c r="W711" s="649"/>
    </row>
    <row r="712" spans="1:23">
      <c r="A712" s="647"/>
      <c r="B712" s="648"/>
      <c r="C712" s="649"/>
      <c r="D712" s="649"/>
      <c r="I712" s="652"/>
      <c r="K712" s="652"/>
      <c r="M712" s="652"/>
      <c r="U712" s="649"/>
      <c r="V712" s="649"/>
      <c r="W712" s="649"/>
    </row>
    <row r="713" spans="1:23">
      <c r="A713" s="647"/>
      <c r="B713" s="648"/>
      <c r="C713" s="649"/>
      <c r="D713" s="649"/>
      <c r="I713" s="652"/>
      <c r="K713" s="652"/>
      <c r="M713" s="652"/>
      <c r="U713" s="649"/>
      <c r="V713" s="649"/>
      <c r="W713" s="649"/>
    </row>
    <row r="714" spans="1:23">
      <c r="A714" s="647"/>
      <c r="B714" s="648"/>
      <c r="C714" s="649"/>
      <c r="D714" s="649"/>
      <c r="I714" s="652"/>
      <c r="K714" s="652"/>
      <c r="M714" s="652"/>
      <c r="U714" s="649"/>
      <c r="V714" s="649"/>
      <c r="W714" s="649"/>
    </row>
    <row r="715" spans="1:23">
      <c r="A715" s="647"/>
      <c r="B715" s="648"/>
      <c r="C715" s="649"/>
      <c r="D715" s="649"/>
      <c r="I715" s="652"/>
      <c r="K715" s="652"/>
      <c r="M715" s="652"/>
      <c r="U715" s="649"/>
      <c r="V715" s="649"/>
      <c r="W715" s="649"/>
    </row>
    <row r="716" spans="1:23">
      <c r="A716" s="647"/>
      <c r="B716" s="648"/>
      <c r="C716" s="649"/>
      <c r="D716" s="649"/>
      <c r="I716" s="652"/>
      <c r="K716" s="652"/>
      <c r="M716" s="652"/>
      <c r="U716" s="649"/>
      <c r="V716" s="649"/>
      <c r="W716" s="649"/>
    </row>
    <row r="717" spans="1:23">
      <c r="A717" s="647"/>
      <c r="B717" s="648"/>
      <c r="C717" s="649"/>
      <c r="D717" s="649"/>
      <c r="I717" s="652"/>
      <c r="K717" s="652"/>
      <c r="M717" s="652"/>
      <c r="U717" s="649"/>
      <c r="V717" s="649"/>
      <c r="W717" s="649"/>
    </row>
    <row r="718" spans="1:23">
      <c r="A718" s="647"/>
      <c r="B718" s="648"/>
      <c r="C718" s="649"/>
      <c r="D718" s="649"/>
      <c r="I718" s="652"/>
      <c r="K718" s="652"/>
      <c r="M718" s="652"/>
      <c r="U718" s="649"/>
      <c r="V718" s="649"/>
      <c r="W718" s="649"/>
    </row>
    <row r="719" spans="1:23">
      <c r="A719" s="647"/>
      <c r="B719" s="648"/>
      <c r="C719" s="649"/>
      <c r="D719" s="649"/>
      <c r="I719" s="652"/>
      <c r="K719" s="652"/>
      <c r="M719" s="652"/>
      <c r="U719" s="649"/>
      <c r="V719" s="649"/>
      <c r="W719" s="649"/>
    </row>
    <row r="720" spans="1:23">
      <c r="A720" s="647"/>
      <c r="B720" s="648"/>
      <c r="C720" s="649"/>
      <c r="D720" s="649"/>
      <c r="I720" s="652"/>
      <c r="K720" s="652"/>
      <c r="M720" s="652"/>
      <c r="U720" s="649"/>
      <c r="V720" s="649"/>
      <c r="W720" s="649"/>
    </row>
    <row r="721" spans="1:23">
      <c r="A721" s="647"/>
      <c r="B721" s="648"/>
      <c r="C721" s="649"/>
      <c r="D721" s="649"/>
      <c r="I721" s="652"/>
      <c r="K721" s="652"/>
      <c r="M721" s="652"/>
      <c r="U721" s="649"/>
      <c r="V721" s="649"/>
      <c r="W721" s="649"/>
    </row>
    <row r="722" spans="1:23">
      <c r="A722" s="647"/>
      <c r="B722" s="648"/>
      <c r="C722" s="649"/>
      <c r="D722" s="649"/>
      <c r="I722" s="652"/>
      <c r="K722" s="652"/>
      <c r="M722" s="652"/>
      <c r="U722" s="649"/>
      <c r="V722" s="649"/>
      <c r="W722" s="649"/>
    </row>
    <row r="723" spans="1:23">
      <c r="A723" s="647"/>
      <c r="B723" s="648"/>
      <c r="C723" s="649"/>
      <c r="D723" s="649"/>
      <c r="I723" s="652"/>
      <c r="K723" s="652"/>
      <c r="M723" s="652"/>
      <c r="U723" s="649"/>
      <c r="V723" s="649"/>
      <c r="W723" s="649"/>
    </row>
    <row r="724" spans="1:23">
      <c r="A724" s="647"/>
      <c r="B724" s="648"/>
      <c r="C724" s="649"/>
      <c r="D724" s="649"/>
      <c r="I724" s="652"/>
      <c r="K724" s="652"/>
      <c r="M724" s="652"/>
      <c r="U724" s="649"/>
      <c r="V724" s="649"/>
      <c r="W724" s="649"/>
    </row>
    <row r="725" spans="1:23">
      <c r="A725" s="647"/>
      <c r="B725" s="648"/>
      <c r="C725" s="649"/>
      <c r="D725" s="649"/>
      <c r="I725" s="652"/>
      <c r="K725" s="652"/>
      <c r="M725" s="652"/>
      <c r="U725" s="649"/>
      <c r="V725" s="649"/>
      <c r="W725" s="649"/>
    </row>
    <row r="726" spans="1:23">
      <c r="A726" s="647"/>
      <c r="B726" s="648"/>
      <c r="C726" s="649"/>
      <c r="D726" s="649"/>
      <c r="I726" s="652"/>
      <c r="K726" s="652"/>
      <c r="M726" s="652"/>
      <c r="U726" s="649"/>
      <c r="V726" s="649"/>
      <c r="W726" s="649"/>
    </row>
    <row r="727" spans="1:23">
      <c r="A727" s="647"/>
      <c r="B727" s="648"/>
      <c r="C727" s="649"/>
      <c r="D727" s="649"/>
      <c r="I727" s="652"/>
      <c r="K727" s="652"/>
      <c r="M727" s="652"/>
      <c r="U727" s="649"/>
      <c r="V727" s="649"/>
      <c r="W727" s="649"/>
    </row>
    <row r="728" spans="1:23">
      <c r="A728" s="647"/>
      <c r="B728" s="648"/>
      <c r="C728" s="649"/>
      <c r="D728" s="649"/>
      <c r="I728" s="652"/>
      <c r="K728" s="652"/>
      <c r="M728" s="652"/>
      <c r="U728" s="649"/>
      <c r="V728" s="649"/>
      <c r="W728" s="649"/>
    </row>
    <row r="729" spans="1:23">
      <c r="A729" s="647"/>
      <c r="B729" s="648"/>
      <c r="C729" s="649"/>
      <c r="D729" s="649"/>
      <c r="I729" s="652"/>
      <c r="K729" s="652"/>
      <c r="M729" s="652"/>
      <c r="U729" s="649"/>
      <c r="V729" s="649"/>
      <c r="W729" s="649"/>
    </row>
    <row r="730" spans="1:23">
      <c r="A730" s="647"/>
      <c r="B730" s="648"/>
      <c r="C730" s="649"/>
      <c r="D730" s="649"/>
      <c r="I730" s="652"/>
      <c r="K730" s="652"/>
      <c r="M730" s="652"/>
      <c r="U730" s="649"/>
      <c r="V730" s="649"/>
      <c r="W730" s="649"/>
    </row>
    <row r="731" spans="1:23">
      <c r="A731" s="647"/>
      <c r="B731" s="648"/>
      <c r="C731" s="649"/>
      <c r="D731" s="649"/>
      <c r="I731" s="652"/>
      <c r="K731" s="652"/>
      <c r="M731" s="652"/>
      <c r="U731" s="649"/>
      <c r="V731" s="649"/>
      <c r="W731" s="649"/>
    </row>
    <row r="732" spans="1:23">
      <c r="A732" s="647"/>
      <c r="B732" s="648"/>
      <c r="C732" s="649"/>
      <c r="D732" s="649"/>
      <c r="I732" s="652"/>
      <c r="K732" s="652"/>
      <c r="M732" s="652"/>
      <c r="U732" s="649"/>
      <c r="V732" s="649"/>
      <c r="W732" s="649"/>
    </row>
    <row r="733" spans="1:23">
      <c r="A733" s="647"/>
      <c r="B733" s="648"/>
      <c r="C733" s="649"/>
      <c r="D733" s="649"/>
      <c r="I733" s="652"/>
      <c r="K733" s="652"/>
      <c r="M733" s="652"/>
      <c r="U733" s="649"/>
      <c r="V733" s="649"/>
      <c r="W733" s="649"/>
    </row>
    <row r="734" spans="1:23">
      <c r="A734" s="647"/>
      <c r="B734" s="648"/>
      <c r="C734" s="649"/>
      <c r="D734" s="649"/>
      <c r="I734" s="652"/>
      <c r="K734" s="652"/>
      <c r="M734" s="652"/>
      <c r="U734" s="649"/>
      <c r="V734" s="649"/>
      <c r="W734" s="649"/>
    </row>
    <row r="735" spans="1:23">
      <c r="A735" s="647"/>
      <c r="B735" s="648"/>
      <c r="C735" s="649"/>
      <c r="D735" s="649"/>
      <c r="I735" s="652"/>
      <c r="K735" s="652"/>
      <c r="M735" s="652"/>
      <c r="U735" s="649"/>
      <c r="V735" s="649"/>
      <c r="W735" s="649"/>
    </row>
    <row r="736" spans="1:23">
      <c r="A736" s="647"/>
      <c r="B736" s="648"/>
      <c r="C736" s="649"/>
      <c r="D736" s="649"/>
      <c r="I736" s="652"/>
      <c r="K736" s="652"/>
      <c r="M736" s="652"/>
      <c r="U736" s="649"/>
      <c r="V736" s="649"/>
      <c r="W736" s="649"/>
    </row>
    <row r="737" spans="1:23">
      <c r="A737" s="647"/>
      <c r="B737" s="648"/>
      <c r="C737" s="649"/>
      <c r="D737" s="649"/>
      <c r="I737" s="652"/>
      <c r="K737" s="652"/>
      <c r="M737" s="652"/>
      <c r="U737" s="649"/>
      <c r="V737" s="649"/>
      <c r="W737" s="649"/>
    </row>
    <row r="738" spans="1:23">
      <c r="A738" s="647"/>
      <c r="B738" s="648"/>
      <c r="C738" s="649"/>
      <c r="D738" s="649"/>
      <c r="I738" s="652"/>
      <c r="K738" s="652"/>
      <c r="M738" s="652"/>
      <c r="U738" s="649"/>
      <c r="V738" s="649"/>
      <c r="W738" s="649"/>
    </row>
    <row r="739" spans="1:23">
      <c r="A739" s="647"/>
      <c r="B739" s="648"/>
      <c r="C739" s="649"/>
      <c r="D739" s="649"/>
      <c r="I739" s="652"/>
      <c r="K739" s="652"/>
      <c r="M739" s="652"/>
      <c r="U739" s="649"/>
      <c r="V739" s="649"/>
      <c r="W739" s="649"/>
    </row>
    <row r="740" spans="1:23">
      <c r="A740" s="647"/>
      <c r="B740" s="648"/>
      <c r="C740" s="649"/>
      <c r="D740" s="649"/>
      <c r="I740" s="652"/>
      <c r="K740" s="652"/>
      <c r="M740" s="652"/>
      <c r="U740" s="649"/>
      <c r="V740" s="649"/>
      <c r="W740" s="649"/>
    </row>
    <row r="741" spans="1:23">
      <c r="A741" s="647"/>
      <c r="B741" s="648"/>
      <c r="C741" s="649"/>
      <c r="D741" s="649"/>
      <c r="I741" s="652"/>
      <c r="K741" s="652"/>
      <c r="M741" s="652"/>
      <c r="U741" s="649"/>
      <c r="V741" s="649"/>
      <c r="W741" s="649"/>
    </row>
    <row r="742" spans="1:23">
      <c r="A742" s="647"/>
      <c r="B742" s="648"/>
      <c r="C742" s="649"/>
      <c r="D742" s="649"/>
      <c r="I742" s="652"/>
      <c r="K742" s="652"/>
      <c r="M742" s="652"/>
      <c r="U742" s="649"/>
      <c r="V742" s="649"/>
      <c r="W742" s="649"/>
    </row>
    <row r="743" spans="1:23">
      <c r="A743" s="647"/>
      <c r="B743" s="648"/>
      <c r="C743" s="649"/>
      <c r="D743" s="649"/>
      <c r="I743" s="652"/>
      <c r="K743" s="652"/>
      <c r="M743" s="652"/>
      <c r="U743" s="649"/>
      <c r="V743" s="649"/>
      <c r="W743" s="649"/>
    </row>
    <row r="744" spans="1:23">
      <c r="A744" s="647"/>
      <c r="B744" s="648"/>
      <c r="C744" s="649"/>
      <c r="D744" s="649"/>
      <c r="I744" s="652"/>
      <c r="K744" s="652"/>
      <c r="M744" s="652"/>
      <c r="U744" s="649"/>
      <c r="V744" s="649"/>
      <c r="W744" s="649"/>
    </row>
    <row r="745" spans="1:23">
      <c r="A745" s="647"/>
      <c r="B745" s="648"/>
      <c r="C745" s="649"/>
      <c r="D745" s="649"/>
      <c r="I745" s="652"/>
      <c r="K745" s="652"/>
      <c r="M745" s="652"/>
      <c r="U745" s="649"/>
      <c r="V745" s="649"/>
      <c r="W745" s="649"/>
    </row>
    <row r="746" spans="1:23">
      <c r="A746" s="647"/>
      <c r="B746" s="648"/>
      <c r="C746" s="649"/>
      <c r="D746" s="649"/>
      <c r="I746" s="652"/>
      <c r="K746" s="652"/>
      <c r="M746" s="652"/>
      <c r="U746" s="649"/>
      <c r="V746" s="649"/>
      <c r="W746" s="649"/>
    </row>
    <row r="747" spans="1:23">
      <c r="A747" s="647"/>
      <c r="B747" s="648"/>
      <c r="C747" s="649"/>
      <c r="D747" s="649"/>
      <c r="I747" s="652"/>
      <c r="K747" s="652"/>
      <c r="M747" s="652"/>
      <c r="U747" s="649"/>
      <c r="V747" s="649"/>
      <c r="W747" s="649"/>
    </row>
    <row r="748" spans="1:23">
      <c r="A748" s="647"/>
      <c r="B748" s="648"/>
      <c r="C748" s="649"/>
      <c r="D748" s="649"/>
      <c r="I748" s="652"/>
      <c r="K748" s="652"/>
      <c r="M748" s="652"/>
      <c r="U748" s="649"/>
      <c r="V748" s="649"/>
      <c r="W748" s="649"/>
    </row>
    <row r="749" spans="1:23">
      <c r="A749" s="647"/>
      <c r="B749" s="648"/>
      <c r="C749" s="649"/>
      <c r="D749" s="649"/>
      <c r="I749" s="652"/>
      <c r="K749" s="652"/>
      <c r="M749" s="652"/>
      <c r="U749" s="649"/>
      <c r="V749" s="649"/>
      <c r="W749" s="649"/>
    </row>
    <row r="750" spans="1:23">
      <c r="A750" s="647"/>
      <c r="B750" s="648"/>
      <c r="C750" s="649"/>
      <c r="D750" s="649"/>
      <c r="I750" s="652"/>
      <c r="K750" s="652"/>
      <c r="M750" s="652"/>
      <c r="U750" s="649"/>
      <c r="V750" s="649"/>
      <c r="W750" s="649"/>
    </row>
    <row r="751" spans="1:23">
      <c r="A751" s="647"/>
      <c r="B751" s="648"/>
      <c r="C751" s="649"/>
      <c r="D751" s="649"/>
      <c r="I751" s="652"/>
      <c r="K751" s="652"/>
      <c r="M751" s="652"/>
      <c r="U751" s="649"/>
      <c r="V751" s="649"/>
      <c r="W751" s="649"/>
    </row>
    <row r="752" spans="1:23">
      <c r="A752" s="647"/>
      <c r="B752" s="648"/>
      <c r="C752" s="649"/>
      <c r="D752" s="649"/>
      <c r="I752" s="652"/>
      <c r="K752" s="652"/>
      <c r="M752" s="652"/>
      <c r="U752" s="649"/>
      <c r="V752" s="649"/>
      <c r="W752" s="649"/>
    </row>
    <row r="753" spans="1:23">
      <c r="A753" s="647"/>
      <c r="B753" s="648"/>
      <c r="C753" s="649"/>
      <c r="D753" s="649"/>
      <c r="I753" s="652"/>
      <c r="K753" s="652"/>
      <c r="M753" s="652"/>
      <c r="U753" s="649"/>
      <c r="V753" s="649"/>
      <c r="W753" s="649"/>
    </row>
    <row r="754" spans="1:23">
      <c r="A754" s="647"/>
      <c r="B754" s="648"/>
      <c r="C754" s="649"/>
      <c r="D754" s="649"/>
      <c r="I754" s="652"/>
      <c r="K754" s="652"/>
      <c r="M754" s="652"/>
      <c r="U754" s="649"/>
      <c r="V754" s="649"/>
      <c r="W754" s="649"/>
    </row>
    <row r="755" spans="1:23">
      <c r="A755" s="647"/>
      <c r="B755" s="648"/>
      <c r="C755" s="649"/>
      <c r="D755" s="649"/>
      <c r="I755" s="652"/>
      <c r="K755" s="652"/>
      <c r="M755" s="652"/>
      <c r="U755" s="649"/>
      <c r="V755" s="649"/>
      <c r="W755" s="649"/>
    </row>
    <row r="756" spans="1:23">
      <c r="A756" s="647"/>
      <c r="B756" s="648"/>
      <c r="C756" s="649"/>
      <c r="D756" s="649"/>
      <c r="I756" s="652"/>
      <c r="K756" s="652"/>
      <c r="M756" s="652"/>
      <c r="U756" s="649"/>
      <c r="V756" s="649"/>
      <c r="W756" s="649"/>
    </row>
    <row r="757" spans="1:23">
      <c r="A757" s="647"/>
      <c r="B757" s="648"/>
      <c r="C757" s="649"/>
      <c r="D757" s="649"/>
      <c r="I757" s="652"/>
      <c r="K757" s="652"/>
      <c r="M757" s="652"/>
      <c r="U757" s="649"/>
      <c r="V757" s="649"/>
      <c r="W757" s="649"/>
    </row>
    <row r="758" spans="1:23">
      <c r="A758" s="647"/>
      <c r="B758" s="648"/>
      <c r="C758" s="649"/>
      <c r="D758" s="649"/>
      <c r="I758" s="652"/>
      <c r="K758" s="652"/>
      <c r="M758" s="652"/>
      <c r="U758" s="649"/>
      <c r="V758" s="649"/>
      <c r="W758" s="649"/>
    </row>
    <row r="759" spans="1:23">
      <c r="A759" s="647"/>
      <c r="B759" s="648"/>
      <c r="C759" s="649"/>
      <c r="D759" s="649"/>
      <c r="I759" s="652"/>
      <c r="K759" s="652"/>
      <c r="M759" s="652"/>
      <c r="U759" s="649"/>
      <c r="V759" s="649"/>
      <c r="W759" s="649"/>
    </row>
    <row r="760" spans="1:23">
      <c r="A760" s="647"/>
      <c r="B760" s="648"/>
      <c r="C760" s="649"/>
      <c r="D760" s="649"/>
      <c r="I760" s="652"/>
      <c r="K760" s="652"/>
      <c r="M760" s="652"/>
      <c r="U760" s="649"/>
      <c r="V760" s="649"/>
      <c r="W760" s="649"/>
    </row>
    <row r="761" spans="1:23">
      <c r="A761" s="647"/>
      <c r="B761" s="648"/>
      <c r="C761" s="649"/>
      <c r="D761" s="649"/>
      <c r="I761" s="652"/>
      <c r="K761" s="652"/>
      <c r="M761" s="652"/>
      <c r="U761" s="649"/>
      <c r="V761" s="649"/>
      <c r="W761" s="649"/>
    </row>
    <row r="762" spans="1:23">
      <c r="A762" s="647"/>
      <c r="B762" s="648"/>
      <c r="C762" s="649"/>
      <c r="D762" s="649"/>
      <c r="I762" s="652"/>
      <c r="K762" s="652"/>
      <c r="M762" s="652"/>
      <c r="U762" s="649"/>
      <c r="V762" s="649"/>
      <c r="W762" s="649"/>
    </row>
    <row r="763" spans="1:23">
      <c r="A763" s="647"/>
      <c r="B763" s="648"/>
      <c r="C763" s="649"/>
      <c r="D763" s="649"/>
      <c r="I763" s="652"/>
      <c r="K763" s="652"/>
      <c r="M763" s="652"/>
      <c r="U763" s="649"/>
      <c r="V763" s="649"/>
      <c r="W763" s="649"/>
    </row>
    <row r="764" spans="1:23">
      <c r="A764" s="647"/>
      <c r="B764" s="648"/>
      <c r="C764" s="649"/>
      <c r="D764" s="649"/>
      <c r="I764" s="652"/>
      <c r="K764" s="652"/>
      <c r="M764" s="652"/>
      <c r="U764" s="649"/>
      <c r="V764" s="649"/>
      <c r="W764" s="649"/>
    </row>
    <row r="765" spans="1:23">
      <c r="A765" s="647"/>
      <c r="B765" s="648"/>
      <c r="C765" s="649"/>
      <c r="D765" s="649"/>
      <c r="I765" s="652"/>
      <c r="K765" s="652"/>
      <c r="M765" s="652"/>
      <c r="U765" s="649"/>
      <c r="V765" s="649"/>
      <c r="W765" s="649"/>
    </row>
    <row r="766" spans="1:23">
      <c r="A766" s="647"/>
      <c r="B766" s="648"/>
      <c r="C766" s="649"/>
      <c r="D766" s="649"/>
      <c r="I766" s="652"/>
      <c r="K766" s="652"/>
      <c r="M766" s="652"/>
      <c r="U766" s="649"/>
      <c r="V766" s="649"/>
      <c r="W766" s="649"/>
    </row>
    <row r="767" spans="1:23">
      <c r="A767" s="647"/>
      <c r="B767" s="648"/>
      <c r="C767" s="649"/>
      <c r="D767" s="649"/>
      <c r="I767" s="652"/>
      <c r="K767" s="652"/>
      <c r="M767" s="652"/>
      <c r="U767" s="649"/>
      <c r="V767" s="649"/>
      <c r="W767" s="649"/>
    </row>
    <row r="768" spans="1:23">
      <c r="A768" s="647"/>
      <c r="B768" s="648"/>
      <c r="C768" s="649"/>
      <c r="D768" s="649"/>
      <c r="I768" s="652"/>
      <c r="K768" s="652"/>
      <c r="M768" s="652"/>
      <c r="U768" s="649"/>
      <c r="V768" s="649"/>
      <c r="W768" s="649"/>
    </row>
    <row r="769" spans="1:23">
      <c r="A769" s="647"/>
      <c r="B769" s="648"/>
      <c r="C769" s="649"/>
      <c r="D769" s="649"/>
      <c r="I769" s="652"/>
      <c r="K769" s="652"/>
      <c r="M769" s="652"/>
      <c r="U769" s="649"/>
      <c r="V769" s="649"/>
      <c r="W769" s="649"/>
    </row>
    <row r="770" spans="1:23">
      <c r="A770" s="647"/>
      <c r="B770" s="648"/>
      <c r="C770" s="649"/>
      <c r="D770" s="649"/>
      <c r="I770" s="652"/>
      <c r="K770" s="652"/>
      <c r="M770" s="652"/>
      <c r="U770" s="649"/>
      <c r="V770" s="649"/>
      <c r="W770" s="649"/>
    </row>
    <row r="771" spans="1:23">
      <c r="A771" s="647"/>
      <c r="B771" s="648"/>
      <c r="C771" s="649"/>
      <c r="D771" s="649"/>
      <c r="I771" s="652"/>
      <c r="K771" s="652"/>
      <c r="M771" s="652"/>
      <c r="U771" s="649"/>
      <c r="V771" s="649"/>
      <c r="W771" s="649"/>
    </row>
    <row r="772" spans="1:23">
      <c r="A772" s="647"/>
      <c r="B772" s="648"/>
      <c r="C772" s="649"/>
      <c r="D772" s="649"/>
      <c r="I772" s="652"/>
      <c r="K772" s="652"/>
      <c r="M772" s="652"/>
      <c r="U772" s="649"/>
      <c r="V772" s="649"/>
      <c r="W772" s="649"/>
    </row>
    <row r="773" spans="1:23">
      <c r="A773" s="647"/>
      <c r="B773" s="648"/>
      <c r="C773" s="649"/>
      <c r="D773" s="649"/>
      <c r="I773" s="652"/>
      <c r="K773" s="652"/>
      <c r="M773" s="652"/>
      <c r="U773" s="649"/>
      <c r="V773" s="649"/>
      <c r="W773" s="649"/>
    </row>
    <row r="774" spans="1:23">
      <c r="A774" s="647"/>
      <c r="B774" s="648"/>
      <c r="C774" s="649"/>
      <c r="D774" s="649"/>
      <c r="I774" s="652"/>
      <c r="K774" s="652"/>
      <c r="M774" s="652"/>
      <c r="U774" s="649"/>
      <c r="V774" s="649"/>
      <c r="W774" s="649"/>
    </row>
    <row r="775" spans="1:23">
      <c r="A775" s="647"/>
      <c r="B775" s="648"/>
      <c r="C775" s="649"/>
      <c r="D775" s="649"/>
      <c r="I775" s="652"/>
      <c r="K775" s="652"/>
      <c r="M775" s="652"/>
      <c r="U775" s="649"/>
      <c r="V775" s="649"/>
      <c r="W775" s="649"/>
    </row>
    <row r="776" spans="1:23">
      <c r="A776" s="647"/>
      <c r="B776" s="648"/>
      <c r="C776" s="649"/>
      <c r="D776" s="649"/>
      <c r="I776" s="652"/>
      <c r="K776" s="652"/>
      <c r="M776" s="652"/>
      <c r="U776" s="649"/>
      <c r="V776" s="649"/>
      <c r="W776" s="649"/>
    </row>
    <row r="777" spans="1:23">
      <c r="A777" s="647"/>
      <c r="B777" s="648"/>
      <c r="C777" s="649"/>
      <c r="D777" s="649"/>
      <c r="I777" s="652"/>
      <c r="K777" s="652"/>
      <c r="M777" s="652"/>
      <c r="U777" s="649"/>
      <c r="V777" s="649"/>
      <c r="W777" s="649"/>
    </row>
    <row r="778" spans="1:23">
      <c r="A778" s="647"/>
      <c r="B778" s="648"/>
      <c r="C778" s="649"/>
      <c r="D778" s="649"/>
      <c r="I778" s="652"/>
      <c r="K778" s="652"/>
      <c r="M778" s="652"/>
      <c r="U778" s="649"/>
      <c r="V778" s="649"/>
      <c r="W778" s="649"/>
    </row>
    <row r="779" spans="1:23">
      <c r="A779" s="647"/>
      <c r="B779" s="648"/>
      <c r="C779" s="649"/>
      <c r="D779" s="649"/>
      <c r="I779" s="652"/>
      <c r="K779" s="652"/>
      <c r="M779" s="652"/>
      <c r="U779" s="649"/>
      <c r="V779" s="649"/>
      <c r="W779" s="649"/>
    </row>
    <row r="780" spans="1:23">
      <c r="A780" s="647"/>
      <c r="B780" s="648"/>
      <c r="C780" s="649"/>
      <c r="D780" s="649"/>
      <c r="I780" s="652"/>
      <c r="K780" s="652"/>
      <c r="M780" s="652"/>
      <c r="U780" s="649"/>
      <c r="V780" s="649"/>
      <c r="W780" s="649"/>
    </row>
    <row r="781" spans="1:23">
      <c r="A781" s="647"/>
      <c r="B781" s="648"/>
      <c r="C781" s="649"/>
      <c r="D781" s="649"/>
      <c r="I781" s="652"/>
      <c r="K781" s="652"/>
      <c r="M781" s="652"/>
      <c r="U781" s="649"/>
      <c r="V781" s="649"/>
      <c r="W781" s="649"/>
    </row>
    <row r="782" spans="1:23">
      <c r="A782" s="647"/>
      <c r="B782" s="648"/>
      <c r="C782" s="649"/>
      <c r="D782" s="649"/>
      <c r="I782" s="652"/>
      <c r="K782" s="652"/>
      <c r="M782" s="652"/>
      <c r="U782" s="649"/>
      <c r="V782" s="649"/>
      <c r="W782" s="649"/>
    </row>
    <row r="783" spans="1:23">
      <c r="A783" s="647"/>
      <c r="B783" s="648"/>
      <c r="C783" s="649"/>
      <c r="D783" s="649"/>
      <c r="I783" s="652"/>
      <c r="K783" s="652"/>
      <c r="M783" s="652"/>
      <c r="U783" s="649"/>
      <c r="V783" s="649"/>
      <c r="W783" s="649"/>
    </row>
    <row r="784" spans="1:23">
      <c r="A784" s="647"/>
      <c r="B784" s="648"/>
      <c r="C784" s="649"/>
      <c r="D784" s="649"/>
      <c r="I784" s="652"/>
      <c r="K784" s="652"/>
      <c r="M784" s="652"/>
      <c r="U784" s="649"/>
      <c r="V784" s="649"/>
      <c r="W784" s="649"/>
    </row>
    <row r="785" spans="1:23">
      <c r="A785" s="647"/>
      <c r="B785" s="648"/>
      <c r="C785" s="649"/>
      <c r="D785" s="649"/>
      <c r="I785" s="652"/>
      <c r="K785" s="652"/>
      <c r="M785" s="652"/>
      <c r="U785" s="649"/>
      <c r="V785" s="649"/>
      <c r="W785" s="649"/>
    </row>
    <row r="786" spans="1:23">
      <c r="A786" s="647"/>
      <c r="B786" s="648"/>
      <c r="C786" s="649"/>
      <c r="D786" s="649"/>
      <c r="I786" s="652"/>
      <c r="K786" s="652"/>
      <c r="M786" s="652"/>
      <c r="U786" s="649"/>
      <c r="V786" s="649"/>
      <c r="W786" s="649"/>
    </row>
    <row r="787" spans="1:23">
      <c r="A787" s="647"/>
      <c r="B787" s="648"/>
      <c r="C787" s="649"/>
      <c r="D787" s="649"/>
      <c r="I787" s="652"/>
      <c r="K787" s="652"/>
      <c r="M787" s="652"/>
      <c r="U787" s="649"/>
      <c r="V787" s="649"/>
      <c r="W787" s="649"/>
    </row>
    <row r="788" spans="1:23">
      <c r="A788" s="647"/>
      <c r="B788" s="648"/>
      <c r="C788" s="649"/>
      <c r="D788" s="649"/>
      <c r="I788" s="652"/>
      <c r="K788" s="652"/>
      <c r="M788" s="652"/>
      <c r="U788" s="649"/>
      <c r="V788" s="649"/>
      <c r="W788" s="649"/>
    </row>
    <row r="789" spans="1:23">
      <c r="A789" s="647"/>
      <c r="B789" s="648"/>
      <c r="C789" s="649"/>
      <c r="D789" s="649"/>
      <c r="I789" s="652"/>
      <c r="K789" s="652"/>
      <c r="M789" s="652"/>
      <c r="U789" s="649"/>
      <c r="V789" s="649"/>
      <c r="W789" s="649"/>
    </row>
    <row r="790" spans="1:23">
      <c r="A790" s="647"/>
      <c r="B790" s="648"/>
      <c r="C790" s="649"/>
      <c r="D790" s="649"/>
      <c r="I790" s="652"/>
      <c r="K790" s="652"/>
      <c r="M790" s="652"/>
      <c r="U790" s="649"/>
      <c r="V790" s="649"/>
      <c r="W790" s="649"/>
    </row>
    <row r="791" spans="1:23">
      <c r="A791" s="647"/>
      <c r="B791" s="648"/>
      <c r="C791" s="649"/>
      <c r="D791" s="649"/>
      <c r="I791" s="652"/>
      <c r="K791" s="652"/>
      <c r="M791" s="652"/>
      <c r="U791" s="649"/>
      <c r="V791" s="649"/>
      <c r="W791" s="649"/>
    </row>
    <row r="792" spans="1:23">
      <c r="A792" s="647"/>
      <c r="B792" s="648"/>
      <c r="C792" s="649"/>
      <c r="D792" s="649"/>
      <c r="I792" s="652"/>
      <c r="K792" s="652"/>
      <c r="M792" s="652"/>
      <c r="U792" s="649"/>
      <c r="V792" s="649"/>
      <c r="W792" s="649"/>
    </row>
    <row r="793" spans="1:23">
      <c r="A793" s="647"/>
      <c r="B793" s="648"/>
      <c r="C793" s="649"/>
      <c r="D793" s="649"/>
      <c r="I793" s="652"/>
      <c r="K793" s="652"/>
      <c r="M793" s="652"/>
      <c r="U793" s="649"/>
      <c r="V793" s="649"/>
      <c r="W793" s="649"/>
    </row>
    <row r="794" spans="1:23">
      <c r="A794" s="647"/>
      <c r="B794" s="648"/>
      <c r="C794" s="649"/>
      <c r="D794" s="649"/>
      <c r="I794" s="652"/>
      <c r="K794" s="652"/>
      <c r="M794" s="652"/>
      <c r="U794" s="649"/>
      <c r="V794" s="649"/>
      <c r="W794" s="649"/>
    </row>
    <row r="795" spans="1:23">
      <c r="A795" s="647"/>
      <c r="B795" s="648"/>
      <c r="C795" s="649"/>
      <c r="D795" s="649"/>
      <c r="I795" s="652"/>
      <c r="K795" s="652"/>
      <c r="M795" s="652"/>
      <c r="U795" s="649"/>
      <c r="V795" s="649"/>
      <c r="W795" s="649"/>
    </row>
    <row r="796" spans="1:23">
      <c r="A796" s="647"/>
      <c r="B796" s="648"/>
      <c r="C796" s="649"/>
      <c r="D796" s="649"/>
      <c r="I796" s="652"/>
      <c r="K796" s="652"/>
      <c r="M796" s="652"/>
      <c r="U796" s="649"/>
      <c r="V796" s="649"/>
      <c r="W796" s="649"/>
    </row>
    <row r="797" spans="1:23">
      <c r="A797" s="647"/>
      <c r="B797" s="648"/>
      <c r="C797" s="649"/>
      <c r="D797" s="649"/>
      <c r="I797" s="652"/>
      <c r="K797" s="652"/>
      <c r="M797" s="652"/>
      <c r="U797" s="649"/>
      <c r="V797" s="649"/>
      <c r="W797" s="649"/>
    </row>
    <row r="798" spans="1:23">
      <c r="A798" s="647"/>
      <c r="B798" s="648"/>
      <c r="C798" s="649"/>
      <c r="D798" s="649"/>
      <c r="I798" s="652"/>
      <c r="K798" s="652"/>
      <c r="M798" s="652"/>
      <c r="U798" s="649"/>
      <c r="V798" s="649"/>
      <c r="W798" s="649"/>
    </row>
    <row r="799" spans="1:23">
      <c r="A799" s="647"/>
      <c r="B799" s="648"/>
      <c r="C799" s="649"/>
      <c r="D799" s="649"/>
      <c r="I799" s="652"/>
      <c r="K799" s="652"/>
      <c r="M799" s="652"/>
      <c r="U799" s="649"/>
      <c r="V799" s="649"/>
      <c r="W799" s="649"/>
    </row>
    <row r="800" spans="1:23">
      <c r="A800" s="647"/>
      <c r="B800" s="648"/>
      <c r="C800" s="649"/>
      <c r="D800" s="649"/>
      <c r="I800" s="652"/>
      <c r="K800" s="652"/>
      <c r="M800" s="652"/>
      <c r="U800" s="649"/>
      <c r="V800" s="649"/>
      <c r="W800" s="649"/>
    </row>
    <row r="801" spans="1:23">
      <c r="A801" s="647"/>
      <c r="B801" s="648"/>
      <c r="C801" s="649"/>
      <c r="D801" s="649"/>
      <c r="I801" s="652"/>
      <c r="K801" s="652"/>
      <c r="M801" s="652"/>
      <c r="U801" s="649"/>
      <c r="V801" s="649"/>
      <c r="W801" s="649"/>
    </row>
    <row r="802" spans="1:23">
      <c r="A802" s="647"/>
      <c r="B802" s="648"/>
      <c r="C802" s="649"/>
      <c r="D802" s="649"/>
      <c r="I802" s="652"/>
      <c r="K802" s="652"/>
      <c r="M802" s="652"/>
      <c r="U802" s="649"/>
      <c r="V802" s="649"/>
      <c r="W802" s="649"/>
    </row>
    <row r="803" spans="1:23">
      <c r="A803" s="647"/>
      <c r="B803" s="648"/>
      <c r="C803" s="649"/>
      <c r="D803" s="649"/>
      <c r="I803" s="652"/>
      <c r="K803" s="652"/>
      <c r="M803" s="652"/>
      <c r="U803" s="649"/>
      <c r="V803" s="649"/>
      <c r="W803" s="649"/>
    </row>
    <row r="804" spans="1:23">
      <c r="A804" s="647"/>
      <c r="B804" s="648"/>
      <c r="C804" s="649"/>
      <c r="D804" s="649"/>
      <c r="I804" s="652"/>
      <c r="K804" s="652"/>
      <c r="M804" s="652"/>
      <c r="U804" s="649"/>
      <c r="V804" s="649"/>
      <c r="W804" s="649"/>
    </row>
    <row r="805" spans="1:23">
      <c r="A805" s="647"/>
      <c r="B805" s="648"/>
      <c r="C805" s="649"/>
      <c r="D805" s="649"/>
      <c r="I805" s="652"/>
      <c r="K805" s="652"/>
      <c r="M805" s="652"/>
      <c r="U805" s="649"/>
      <c r="V805" s="649"/>
      <c r="W805" s="649"/>
    </row>
    <row r="806" spans="1:23">
      <c r="A806" s="647"/>
      <c r="B806" s="648"/>
      <c r="C806" s="649"/>
      <c r="D806" s="649"/>
      <c r="I806" s="652"/>
      <c r="K806" s="652"/>
      <c r="M806" s="652"/>
      <c r="U806" s="649"/>
      <c r="V806" s="649"/>
      <c r="W806" s="649"/>
    </row>
    <row r="807" spans="1:23">
      <c r="A807" s="647"/>
      <c r="B807" s="648"/>
      <c r="C807" s="649"/>
      <c r="D807" s="649"/>
      <c r="I807" s="652"/>
      <c r="K807" s="652"/>
      <c r="M807" s="652"/>
      <c r="U807" s="649"/>
      <c r="V807" s="649"/>
      <c r="W807" s="649"/>
    </row>
    <row r="808" spans="1:23">
      <c r="A808" s="647"/>
      <c r="B808" s="648"/>
      <c r="C808" s="649"/>
      <c r="D808" s="649"/>
      <c r="I808" s="652"/>
      <c r="K808" s="652"/>
      <c r="M808" s="652"/>
      <c r="U808" s="649"/>
      <c r="V808" s="649"/>
      <c r="W808" s="649"/>
    </row>
    <row r="809" spans="1:23">
      <c r="A809" s="647"/>
      <c r="B809" s="648"/>
      <c r="C809" s="649"/>
      <c r="D809" s="649"/>
      <c r="I809" s="652"/>
      <c r="K809" s="652"/>
      <c r="M809" s="652"/>
      <c r="U809" s="649"/>
      <c r="V809" s="649"/>
      <c r="W809" s="649"/>
    </row>
    <row r="810" spans="1:23">
      <c r="A810" s="647"/>
      <c r="B810" s="648"/>
      <c r="C810" s="649"/>
      <c r="D810" s="649"/>
      <c r="I810" s="652"/>
      <c r="K810" s="652"/>
      <c r="M810" s="652"/>
      <c r="U810" s="649"/>
      <c r="V810" s="649"/>
      <c r="W810" s="649"/>
    </row>
    <row r="811" spans="1:23">
      <c r="A811" s="647"/>
      <c r="B811" s="648"/>
      <c r="C811" s="649"/>
      <c r="D811" s="649"/>
      <c r="I811" s="652"/>
      <c r="K811" s="652"/>
      <c r="M811" s="652"/>
      <c r="U811" s="649"/>
      <c r="V811" s="649"/>
      <c r="W811" s="649"/>
    </row>
    <row r="812" spans="1:23">
      <c r="A812" s="647"/>
      <c r="B812" s="648"/>
      <c r="C812" s="649"/>
      <c r="D812" s="649"/>
      <c r="I812" s="652"/>
      <c r="K812" s="652"/>
      <c r="M812" s="652"/>
      <c r="U812" s="649"/>
      <c r="V812" s="649"/>
      <c r="W812" s="649"/>
    </row>
    <row r="813" spans="1:23">
      <c r="A813" s="647"/>
      <c r="B813" s="648"/>
      <c r="C813" s="649"/>
      <c r="D813" s="649"/>
      <c r="I813" s="652"/>
      <c r="K813" s="652"/>
      <c r="M813" s="652"/>
      <c r="U813" s="649"/>
      <c r="V813" s="649"/>
      <c r="W813" s="649"/>
    </row>
    <row r="814" spans="1:23">
      <c r="A814" s="647"/>
      <c r="B814" s="648"/>
      <c r="C814" s="649"/>
      <c r="D814" s="649"/>
      <c r="I814" s="652"/>
      <c r="K814" s="652"/>
      <c r="M814" s="652"/>
      <c r="U814" s="649"/>
      <c r="V814" s="649"/>
      <c r="W814" s="649"/>
    </row>
    <row r="815" spans="1:23">
      <c r="A815" s="647"/>
      <c r="B815" s="648"/>
      <c r="C815" s="649"/>
      <c r="D815" s="649"/>
      <c r="I815" s="652"/>
      <c r="K815" s="652"/>
      <c r="M815" s="652"/>
      <c r="U815" s="649"/>
      <c r="V815" s="649"/>
      <c r="W815" s="649"/>
    </row>
    <row r="816" spans="1:23">
      <c r="A816" s="647"/>
      <c r="B816" s="648"/>
      <c r="C816" s="649"/>
      <c r="D816" s="649"/>
      <c r="I816" s="652"/>
      <c r="K816" s="652"/>
      <c r="M816" s="652"/>
      <c r="U816" s="649"/>
      <c r="V816" s="649"/>
      <c r="W816" s="649"/>
    </row>
    <row r="817" spans="1:23">
      <c r="A817" s="647"/>
      <c r="B817" s="648"/>
      <c r="C817" s="649"/>
      <c r="D817" s="649"/>
      <c r="I817" s="652"/>
      <c r="K817" s="652"/>
      <c r="M817" s="652"/>
      <c r="U817" s="649"/>
      <c r="V817" s="649"/>
      <c r="W817" s="649"/>
    </row>
    <row r="818" spans="1:23">
      <c r="A818" s="647"/>
      <c r="B818" s="648"/>
      <c r="C818" s="649"/>
      <c r="D818" s="649"/>
      <c r="I818" s="652"/>
      <c r="K818" s="652"/>
      <c r="M818" s="652"/>
      <c r="U818" s="649"/>
      <c r="V818" s="649"/>
      <c r="W818" s="649"/>
    </row>
    <row r="819" spans="1:23">
      <c r="A819" s="647"/>
      <c r="B819" s="648"/>
      <c r="C819" s="649"/>
      <c r="D819" s="649"/>
      <c r="I819" s="652"/>
      <c r="K819" s="652"/>
      <c r="M819" s="652"/>
      <c r="U819" s="649"/>
      <c r="V819" s="649"/>
      <c r="W819" s="649"/>
    </row>
    <row r="820" spans="1:23">
      <c r="A820" s="647"/>
      <c r="B820" s="648"/>
      <c r="C820" s="649"/>
      <c r="D820" s="649"/>
      <c r="I820" s="652"/>
      <c r="K820" s="652"/>
      <c r="M820" s="652"/>
      <c r="U820" s="649"/>
      <c r="V820" s="649"/>
      <c r="W820" s="649"/>
    </row>
    <row r="821" spans="1:23">
      <c r="A821" s="647"/>
      <c r="B821" s="648"/>
      <c r="C821" s="649"/>
      <c r="D821" s="649"/>
      <c r="I821" s="652"/>
      <c r="K821" s="652"/>
      <c r="M821" s="652"/>
      <c r="U821" s="649"/>
      <c r="V821" s="649"/>
      <c r="W821" s="649"/>
    </row>
    <row r="822" spans="1:23">
      <c r="A822" s="647"/>
      <c r="B822" s="648"/>
      <c r="C822" s="649"/>
      <c r="D822" s="649"/>
      <c r="I822" s="652"/>
      <c r="K822" s="652"/>
      <c r="M822" s="652"/>
      <c r="U822" s="649"/>
      <c r="V822" s="649"/>
      <c r="W822" s="649"/>
    </row>
    <row r="823" spans="1:23">
      <c r="A823" s="647"/>
      <c r="B823" s="648"/>
      <c r="C823" s="649"/>
      <c r="D823" s="649"/>
      <c r="I823" s="652"/>
      <c r="K823" s="652"/>
      <c r="M823" s="652"/>
      <c r="U823" s="649"/>
      <c r="V823" s="649"/>
      <c r="W823" s="649"/>
    </row>
    <row r="824" spans="1:23">
      <c r="A824" s="647"/>
      <c r="B824" s="648"/>
      <c r="C824" s="649"/>
      <c r="D824" s="649"/>
      <c r="I824" s="652"/>
      <c r="K824" s="652"/>
      <c r="M824" s="652"/>
      <c r="U824" s="649"/>
      <c r="V824" s="649"/>
      <c r="W824" s="649"/>
    </row>
    <row r="825" spans="1:23">
      <c r="A825" s="647"/>
      <c r="B825" s="648"/>
      <c r="C825" s="649"/>
      <c r="D825" s="649"/>
      <c r="I825" s="652"/>
      <c r="K825" s="652"/>
      <c r="M825" s="652"/>
      <c r="U825" s="649"/>
      <c r="V825" s="649"/>
      <c r="W825" s="649"/>
    </row>
    <row r="826" spans="1:23">
      <c r="A826" s="647"/>
      <c r="B826" s="648"/>
      <c r="C826" s="649"/>
      <c r="D826" s="649"/>
      <c r="I826" s="652"/>
      <c r="K826" s="652"/>
      <c r="M826" s="652"/>
      <c r="U826" s="649"/>
      <c r="V826" s="649"/>
      <c r="W826" s="649"/>
    </row>
    <row r="827" spans="1:23">
      <c r="A827" s="647"/>
      <c r="B827" s="648"/>
      <c r="C827" s="649"/>
      <c r="D827" s="649"/>
      <c r="I827" s="652"/>
      <c r="K827" s="652"/>
      <c r="M827" s="652"/>
      <c r="U827" s="649"/>
      <c r="V827" s="649"/>
      <c r="W827" s="649"/>
    </row>
    <row r="828" spans="1:23">
      <c r="A828" s="647"/>
      <c r="B828" s="648"/>
      <c r="C828" s="649"/>
      <c r="D828" s="649"/>
      <c r="I828" s="652"/>
      <c r="K828" s="652"/>
      <c r="M828" s="652"/>
      <c r="U828" s="649"/>
      <c r="V828" s="649"/>
      <c r="W828" s="649"/>
    </row>
    <row r="829" spans="1:23">
      <c r="A829" s="647"/>
      <c r="B829" s="648"/>
      <c r="C829" s="649"/>
      <c r="D829" s="649"/>
      <c r="I829" s="652"/>
      <c r="K829" s="652"/>
      <c r="M829" s="652"/>
      <c r="U829" s="649"/>
      <c r="V829" s="649"/>
      <c r="W829" s="649"/>
    </row>
    <row r="830" spans="1:23">
      <c r="A830" s="647"/>
      <c r="B830" s="648"/>
      <c r="C830" s="649"/>
      <c r="D830" s="649"/>
      <c r="I830" s="652"/>
      <c r="K830" s="652"/>
      <c r="M830" s="652"/>
      <c r="U830" s="649"/>
      <c r="V830" s="649"/>
      <c r="W830" s="649"/>
    </row>
    <row r="831" spans="1:23">
      <c r="A831" s="647"/>
      <c r="B831" s="648"/>
      <c r="C831" s="649"/>
      <c r="D831" s="649"/>
      <c r="I831" s="652"/>
      <c r="K831" s="652"/>
      <c r="M831" s="652"/>
      <c r="U831" s="649"/>
      <c r="V831" s="649"/>
      <c r="W831" s="649"/>
    </row>
    <row r="832" spans="1:23">
      <c r="A832" s="647"/>
      <c r="B832" s="648"/>
      <c r="C832" s="649"/>
      <c r="D832" s="649"/>
      <c r="I832" s="652"/>
      <c r="K832" s="652"/>
      <c r="M832" s="652"/>
      <c r="U832" s="649"/>
      <c r="V832" s="649"/>
      <c r="W832" s="649"/>
    </row>
    <row r="833" spans="1:23">
      <c r="A833" s="647"/>
      <c r="B833" s="648"/>
      <c r="C833" s="649"/>
      <c r="D833" s="649"/>
      <c r="I833" s="652"/>
      <c r="K833" s="652"/>
      <c r="M833" s="652"/>
      <c r="U833" s="649"/>
      <c r="V833" s="649"/>
      <c r="W833" s="649"/>
    </row>
    <row r="834" spans="1:23">
      <c r="A834" s="647"/>
      <c r="B834" s="648"/>
      <c r="C834" s="649"/>
      <c r="D834" s="649"/>
      <c r="I834" s="652"/>
      <c r="K834" s="652"/>
      <c r="M834" s="652"/>
      <c r="U834" s="649"/>
      <c r="V834" s="649"/>
      <c r="W834" s="649"/>
    </row>
    <row r="835" spans="1:23">
      <c r="A835" s="647"/>
      <c r="B835" s="648"/>
      <c r="C835" s="649"/>
      <c r="D835" s="649"/>
      <c r="I835" s="652"/>
      <c r="K835" s="652"/>
      <c r="M835" s="652"/>
      <c r="U835" s="649"/>
      <c r="V835" s="649"/>
      <c r="W835" s="649"/>
    </row>
    <row r="836" spans="1:23">
      <c r="A836" s="647"/>
      <c r="B836" s="648"/>
      <c r="C836" s="649"/>
      <c r="D836" s="649"/>
      <c r="I836" s="652"/>
      <c r="K836" s="652"/>
      <c r="M836" s="652"/>
      <c r="U836" s="649"/>
      <c r="V836" s="649"/>
      <c r="W836" s="649"/>
    </row>
    <row r="837" spans="1:23">
      <c r="A837" s="647"/>
      <c r="B837" s="648"/>
      <c r="C837" s="649"/>
      <c r="D837" s="649"/>
      <c r="I837" s="652"/>
      <c r="K837" s="652"/>
      <c r="M837" s="652"/>
      <c r="U837" s="649"/>
      <c r="V837" s="649"/>
      <c r="W837" s="649"/>
    </row>
    <row r="838" spans="1:23">
      <c r="A838" s="647"/>
      <c r="B838" s="648"/>
      <c r="C838" s="649"/>
      <c r="D838" s="649"/>
      <c r="I838" s="652"/>
      <c r="K838" s="652"/>
      <c r="M838" s="652"/>
      <c r="U838" s="649"/>
      <c r="V838" s="649"/>
      <c r="W838" s="649"/>
    </row>
    <row r="839" spans="1:23">
      <c r="A839" s="647"/>
      <c r="B839" s="648"/>
      <c r="C839" s="649"/>
      <c r="D839" s="649"/>
      <c r="I839" s="652"/>
      <c r="K839" s="652"/>
      <c r="M839" s="652"/>
      <c r="U839" s="649"/>
      <c r="V839" s="649"/>
      <c r="W839" s="649"/>
    </row>
    <row r="840" spans="1:23">
      <c r="A840" s="647"/>
      <c r="B840" s="648"/>
      <c r="C840" s="649"/>
      <c r="D840" s="649"/>
      <c r="I840" s="652"/>
      <c r="K840" s="652"/>
      <c r="M840" s="652"/>
      <c r="U840" s="649"/>
      <c r="V840" s="649"/>
      <c r="W840" s="649"/>
    </row>
    <row r="841" spans="1:23">
      <c r="A841" s="647"/>
      <c r="B841" s="648"/>
      <c r="C841" s="649"/>
      <c r="D841" s="649"/>
      <c r="I841" s="652"/>
      <c r="K841" s="652"/>
      <c r="M841" s="652"/>
      <c r="U841" s="649"/>
      <c r="V841" s="649"/>
      <c r="W841" s="649"/>
    </row>
    <row r="842" spans="1:23">
      <c r="A842" s="647"/>
      <c r="B842" s="648"/>
      <c r="C842" s="649"/>
      <c r="D842" s="649"/>
      <c r="I842" s="652"/>
      <c r="K842" s="652"/>
      <c r="M842" s="652"/>
      <c r="U842" s="649"/>
      <c r="V842" s="649"/>
      <c r="W842" s="649"/>
    </row>
    <row r="843" spans="1:23">
      <c r="A843" s="647"/>
      <c r="B843" s="648"/>
      <c r="C843" s="649"/>
      <c r="D843" s="649"/>
      <c r="I843" s="652"/>
      <c r="K843" s="652"/>
      <c r="M843" s="652"/>
      <c r="U843" s="649"/>
      <c r="V843" s="649"/>
      <c r="W843" s="649"/>
    </row>
    <row r="844" spans="1:23">
      <c r="A844" s="647"/>
      <c r="B844" s="648"/>
      <c r="C844" s="649"/>
      <c r="D844" s="649"/>
      <c r="I844" s="652"/>
      <c r="K844" s="652"/>
      <c r="M844" s="652"/>
      <c r="U844" s="649"/>
      <c r="V844" s="649"/>
      <c r="W844" s="649"/>
    </row>
    <row r="845" spans="1:23">
      <c r="A845" s="647"/>
      <c r="B845" s="648"/>
      <c r="C845" s="649"/>
      <c r="D845" s="649"/>
      <c r="I845" s="652"/>
      <c r="K845" s="652"/>
      <c r="M845" s="652"/>
      <c r="U845" s="649"/>
      <c r="V845" s="649"/>
      <c r="W845" s="649"/>
    </row>
    <row r="846" spans="1:23">
      <c r="A846" s="647"/>
      <c r="B846" s="648"/>
      <c r="C846" s="649"/>
      <c r="D846" s="649"/>
      <c r="I846" s="652"/>
      <c r="K846" s="652"/>
      <c r="M846" s="652"/>
      <c r="U846" s="649"/>
      <c r="V846" s="649"/>
      <c r="W846" s="649"/>
    </row>
    <row r="847" spans="1:23">
      <c r="A847" s="647"/>
      <c r="B847" s="648"/>
      <c r="C847" s="649"/>
      <c r="D847" s="649"/>
      <c r="I847" s="652"/>
      <c r="K847" s="652"/>
      <c r="M847" s="652"/>
      <c r="U847" s="649"/>
      <c r="V847" s="649"/>
      <c r="W847" s="649"/>
    </row>
    <row r="848" spans="1:23">
      <c r="A848" s="647"/>
      <c r="B848" s="648"/>
      <c r="C848" s="649"/>
      <c r="D848" s="649"/>
      <c r="I848" s="652"/>
      <c r="K848" s="652"/>
      <c r="M848" s="652"/>
      <c r="U848" s="649"/>
      <c r="V848" s="649"/>
      <c r="W848" s="649"/>
    </row>
    <row r="849" spans="1:23">
      <c r="A849" s="647"/>
      <c r="B849" s="648"/>
      <c r="C849" s="649"/>
      <c r="D849" s="649"/>
      <c r="I849" s="652"/>
      <c r="K849" s="652"/>
      <c r="M849" s="652"/>
      <c r="U849" s="649"/>
      <c r="V849" s="649"/>
      <c r="W849" s="649"/>
    </row>
    <row r="850" spans="1:23">
      <c r="A850" s="647"/>
      <c r="B850" s="648"/>
      <c r="C850" s="649"/>
      <c r="D850" s="649"/>
      <c r="I850" s="652"/>
      <c r="K850" s="652"/>
      <c r="M850" s="652"/>
      <c r="U850" s="649"/>
      <c r="V850" s="649"/>
      <c r="W850" s="649"/>
    </row>
    <row r="851" spans="1:23">
      <c r="A851" s="647"/>
      <c r="B851" s="648"/>
      <c r="C851" s="649"/>
      <c r="D851" s="649"/>
      <c r="I851" s="652"/>
      <c r="K851" s="652"/>
      <c r="M851" s="652"/>
      <c r="U851" s="649"/>
      <c r="V851" s="649"/>
      <c r="W851" s="649"/>
    </row>
    <row r="852" spans="1:23">
      <c r="A852" s="647"/>
      <c r="B852" s="648"/>
      <c r="C852" s="649"/>
      <c r="D852" s="649"/>
      <c r="I852" s="652"/>
      <c r="K852" s="652"/>
      <c r="M852" s="652"/>
      <c r="U852" s="649"/>
      <c r="V852" s="649"/>
      <c r="W852" s="649"/>
    </row>
    <row r="853" spans="1:23">
      <c r="A853" s="647"/>
      <c r="B853" s="648"/>
      <c r="C853" s="649"/>
      <c r="D853" s="649"/>
      <c r="I853" s="652"/>
      <c r="K853" s="652"/>
      <c r="M853" s="652"/>
      <c r="U853" s="649"/>
      <c r="V853" s="649"/>
      <c r="W853" s="649"/>
    </row>
    <row r="854" spans="1:23">
      <c r="A854" s="647"/>
      <c r="B854" s="648"/>
      <c r="C854" s="649"/>
      <c r="D854" s="649"/>
      <c r="I854" s="652"/>
      <c r="K854" s="652"/>
      <c r="M854" s="652"/>
      <c r="U854" s="649"/>
      <c r="V854" s="649"/>
      <c r="W854" s="649"/>
    </row>
    <row r="855" spans="1:23">
      <c r="A855" s="647"/>
      <c r="B855" s="648"/>
      <c r="C855" s="649"/>
      <c r="D855" s="649"/>
      <c r="I855" s="652"/>
      <c r="K855" s="652"/>
      <c r="M855" s="652"/>
      <c r="U855" s="649"/>
      <c r="V855" s="649"/>
      <c r="W855" s="649"/>
    </row>
    <row r="856" spans="1:23">
      <c r="A856" s="647"/>
      <c r="B856" s="648"/>
      <c r="C856" s="649"/>
      <c r="D856" s="649"/>
      <c r="I856" s="652"/>
      <c r="K856" s="652"/>
      <c r="M856" s="652"/>
      <c r="U856" s="649"/>
      <c r="V856" s="649"/>
      <c r="W856" s="649"/>
    </row>
    <row r="857" spans="1:23">
      <c r="A857" s="647"/>
      <c r="B857" s="648"/>
      <c r="C857" s="649"/>
      <c r="D857" s="649"/>
      <c r="I857" s="652"/>
      <c r="K857" s="652"/>
      <c r="M857" s="652"/>
      <c r="U857" s="649"/>
      <c r="V857" s="649"/>
      <c r="W857" s="649"/>
    </row>
    <row r="858" spans="1:23">
      <c r="A858" s="647"/>
      <c r="B858" s="648"/>
      <c r="C858" s="649"/>
      <c r="D858" s="649"/>
      <c r="I858" s="652"/>
      <c r="K858" s="652"/>
      <c r="M858" s="652"/>
      <c r="U858" s="649"/>
      <c r="V858" s="649"/>
      <c r="W858" s="649"/>
    </row>
    <row r="859" spans="1:23">
      <c r="A859" s="647"/>
      <c r="B859" s="648"/>
      <c r="C859" s="649"/>
      <c r="D859" s="649"/>
      <c r="I859" s="652"/>
      <c r="K859" s="652"/>
      <c r="M859" s="652"/>
      <c r="U859" s="649"/>
      <c r="V859" s="649"/>
      <c r="W859" s="649"/>
    </row>
    <row r="860" spans="1:23">
      <c r="A860" s="647"/>
      <c r="B860" s="648"/>
      <c r="C860" s="649"/>
      <c r="D860" s="649"/>
      <c r="I860" s="652"/>
      <c r="K860" s="652"/>
      <c r="M860" s="652"/>
      <c r="U860" s="649"/>
      <c r="V860" s="649"/>
      <c r="W860" s="649"/>
    </row>
    <row r="861" spans="1:23">
      <c r="A861" s="647"/>
      <c r="B861" s="648"/>
      <c r="C861" s="649"/>
      <c r="D861" s="649"/>
      <c r="I861" s="652"/>
      <c r="K861" s="652"/>
      <c r="M861" s="652"/>
      <c r="U861" s="649"/>
      <c r="V861" s="649"/>
      <c r="W861" s="649"/>
    </row>
    <row r="862" spans="1:23">
      <c r="A862" s="647"/>
      <c r="B862" s="648"/>
      <c r="C862" s="649"/>
      <c r="D862" s="649"/>
      <c r="I862" s="652"/>
      <c r="K862" s="652"/>
      <c r="M862" s="652"/>
      <c r="U862" s="649"/>
      <c r="V862" s="649"/>
      <c r="W862" s="649"/>
    </row>
    <row r="863" spans="1:23">
      <c r="A863" s="647"/>
      <c r="B863" s="648"/>
      <c r="C863" s="649"/>
      <c r="D863" s="649"/>
      <c r="I863" s="652"/>
      <c r="K863" s="652"/>
      <c r="M863" s="652"/>
      <c r="U863" s="649"/>
      <c r="V863" s="649"/>
      <c r="W863" s="649"/>
    </row>
    <row r="864" spans="1:23">
      <c r="A864" s="647"/>
      <c r="B864" s="648"/>
      <c r="C864" s="649"/>
      <c r="D864" s="649"/>
      <c r="I864" s="652"/>
      <c r="K864" s="652"/>
      <c r="M864" s="652"/>
      <c r="U864" s="649"/>
      <c r="V864" s="649"/>
      <c r="W864" s="649"/>
    </row>
    <row r="865" spans="1:23">
      <c r="A865" s="647"/>
      <c r="B865" s="648"/>
      <c r="C865" s="649"/>
      <c r="D865" s="649"/>
      <c r="I865" s="652"/>
      <c r="K865" s="652"/>
      <c r="M865" s="652"/>
      <c r="U865" s="649"/>
      <c r="V865" s="649"/>
      <c r="W865" s="649"/>
    </row>
    <row r="866" spans="1:23">
      <c r="A866" s="647"/>
      <c r="B866" s="648"/>
      <c r="C866" s="649"/>
      <c r="D866" s="649"/>
      <c r="I866" s="652"/>
      <c r="K866" s="652"/>
      <c r="M866" s="652"/>
      <c r="U866" s="649"/>
      <c r="V866" s="649"/>
      <c r="W866" s="649"/>
    </row>
    <row r="867" spans="1:23">
      <c r="A867" s="647"/>
      <c r="B867" s="648"/>
      <c r="C867" s="649"/>
      <c r="D867" s="649"/>
      <c r="I867" s="652"/>
      <c r="K867" s="652"/>
      <c r="M867" s="652"/>
      <c r="U867" s="649"/>
      <c r="V867" s="649"/>
      <c r="W867" s="649"/>
    </row>
    <row r="868" spans="1:23">
      <c r="A868" s="647"/>
      <c r="B868" s="648"/>
      <c r="C868" s="649"/>
      <c r="D868" s="649"/>
      <c r="I868" s="652"/>
      <c r="K868" s="652"/>
      <c r="M868" s="652"/>
      <c r="U868" s="649"/>
      <c r="V868" s="649"/>
      <c r="W868" s="649"/>
    </row>
    <row r="869" spans="1:23">
      <c r="A869" s="647"/>
      <c r="B869" s="648"/>
      <c r="C869" s="649"/>
      <c r="D869" s="649"/>
      <c r="I869" s="652"/>
      <c r="K869" s="652"/>
      <c r="M869" s="652"/>
      <c r="U869" s="649"/>
      <c r="V869" s="649"/>
      <c r="W869" s="649"/>
    </row>
    <row r="870" spans="1:23">
      <c r="A870" s="647"/>
      <c r="B870" s="648"/>
      <c r="C870" s="649"/>
      <c r="D870" s="649"/>
      <c r="I870" s="652"/>
      <c r="K870" s="652"/>
      <c r="M870" s="652"/>
      <c r="U870" s="649"/>
      <c r="V870" s="649"/>
      <c r="W870" s="649"/>
    </row>
    <row r="871" spans="1:23">
      <c r="A871" s="647"/>
      <c r="B871" s="648"/>
      <c r="C871" s="649"/>
      <c r="D871" s="649"/>
      <c r="I871" s="652"/>
      <c r="K871" s="652"/>
      <c r="M871" s="652"/>
      <c r="U871" s="649"/>
      <c r="V871" s="649"/>
      <c r="W871" s="649"/>
    </row>
    <row r="872" spans="1:23">
      <c r="A872" s="647"/>
      <c r="B872" s="648"/>
      <c r="C872" s="649"/>
      <c r="D872" s="649"/>
      <c r="I872" s="652"/>
      <c r="K872" s="652"/>
      <c r="M872" s="652"/>
      <c r="U872" s="649"/>
      <c r="V872" s="649"/>
      <c r="W872" s="649"/>
    </row>
    <row r="873" spans="1:23">
      <c r="A873" s="647"/>
      <c r="B873" s="648"/>
      <c r="C873" s="649"/>
      <c r="D873" s="649"/>
      <c r="I873" s="652"/>
      <c r="K873" s="652"/>
      <c r="M873" s="652"/>
      <c r="U873" s="649"/>
      <c r="V873" s="649"/>
      <c r="W873" s="649"/>
    </row>
    <row r="874" spans="1:23">
      <c r="A874" s="647"/>
      <c r="B874" s="648"/>
      <c r="C874" s="649"/>
      <c r="D874" s="649"/>
      <c r="I874" s="652"/>
      <c r="K874" s="652"/>
      <c r="M874" s="652"/>
      <c r="U874" s="649"/>
      <c r="V874" s="649"/>
      <c r="W874" s="649"/>
    </row>
    <row r="875" spans="1:23">
      <c r="A875" s="647"/>
      <c r="B875" s="648"/>
      <c r="C875" s="649"/>
      <c r="D875" s="649"/>
      <c r="I875" s="652"/>
      <c r="K875" s="652"/>
      <c r="M875" s="652"/>
      <c r="U875" s="649"/>
      <c r="V875" s="649"/>
      <c r="W875" s="649"/>
    </row>
    <row r="876" spans="1:23">
      <c r="A876" s="647"/>
      <c r="B876" s="648"/>
      <c r="C876" s="649"/>
      <c r="D876" s="649"/>
      <c r="I876" s="652"/>
      <c r="K876" s="652"/>
      <c r="M876" s="652"/>
      <c r="U876" s="649"/>
      <c r="V876" s="649"/>
      <c r="W876" s="649"/>
    </row>
    <row r="877" spans="1:23">
      <c r="A877" s="647"/>
      <c r="B877" s="648"/>
      <c r="C877" s="649"/>
      <c r="D877" s="649"/>
      <c r="I877" s="652"/>
      <c r="K877" s="652"/>
      <c r="M877" s="652"/>
      <c r="U877" s="649"/>
      <c r="V877" s="649"/>
      <c r="W877" s="649"/>
    </row>
    <row r="878" spans="1:23">
      <c r="A878" s="647"/>
      <c r="B878" s="648"/>
      <c r="C878" s="649"/>
      <c r="D878" s="649"/>
      <c r="I878" s="652"/>
      <c r="K878" s="652"/>
      <c r="M878" s="652"/>
      <c r="U878" s="649"/>
      <c r="V878" s="649"/>
      <c r="W878" s="649"/>
    </row>
    <row r="879" spans="1:23">
      <c r="A879" s="647"/>
      <c r="B879" s="648"/>
      <c r="C879" s="649"/>
      <c r="D879" s="649"/>
      <c r="I879" s="652"/>
      <c r="K879" s="652"/>
      <c r="M879" s="652"/>
      <c r="U879" s="649"/>
      <c r="V879" s="649"/>
      <c r="W879" s="649"/>
    </row>
    <row r="880" spans="1:23">
      <c r="A880" s="647"/>
      <c r="B880" s="648"/>
      <c r="C880" s="649"/>
      <c r="D880" s="649"/>
      <c r="I880" s="652"/>
      <c r="K880" s="652"/>
      <c r="M880" s="652"/>
      <c r="U880" s="649"/>
      <c r="V880" s="649"/>
      <c r="W880" s="649"/>
    </row>
    <row r="881" spans="1:23">
      <c r="A881" s="647"/>
      <c r="B881" s="648"/>
      <c r="C881" s="649"/>
      <c r="D881" s="649"/>
      <c r="I881" s="652"/>
      <c r="K881" s="652"/>
      <c r="M881" s="652"/>
      <c r="U881" s="649"/>
      <c r="V881" s="649"/>
      <c r="W881" s="649"/>
    </row>
    <row r="882" spans="1:23">
      <c r="A882" s="647"/>
      <c r="B882" s="648"/>
      <c r="C882" s="649"/>
      <c r="D882" s="649"/>
      <c r="I882" s="652"/>
      <c r="K882" s="652"/>
      <c r="M882" s="652"/>
      <c r="U882" s="649"/>
      <c r="V882" s="649"/>
      <c r="W882" s="649"/>
    </row>
    <row r="883" spans="1:23">
      <c r="A883" s="647"/>
      <c r="B883" s="648"/>
      <c r="C883" s="649"/>
      <c r="D883" s="649"/>
      <c r="I883" s="652"/>
      <c r="K883" s="652"/>
      <c r="M883" s="652"/>
      <c r="U883" s="649"/>
      <c r="V883" s="649"/>
      <c r="W883" s="649"/>
    </row>
    <row r="884" spans="1:23">
      <c r="A884" s="647"/>
      <c r="B884" s="648"/>
      <c r="C884" s="649"/>
      <c r="D884" s="649"/>
      <c r="I884" s="652"/>
      <c r="K884" s="652"/>
      <c r="M884" s="652"/>
      <c r="U884" s="649"/>
      <c r="V884" s="649"/>
      <c r="W884" s="649"/>
    </row>
    <row r="885" spans="1:23">
      <c r="A885" s="647"/>
      <c r="B885" s="648"/>
      <c r="C885" s="649"/>
      <c r="D885" s="649"/>
      <c r="I885" s="652"/>
      <c r="K885" s="652"/>
      <c r="M885" s="652"/>
      <c r="U885" s="649"/>
      <c r="V885" s="649"/>
      <c r="W885" s="649"/>
    </row>
    <row r="886" spans="1:23">
      <c r="A886" s="647"/>
      <c r="B886" s="648"/>
      <c r="C886" s="649"/>
      <c r="D886" s="649"/>
      <c r="I886" s="652"/>
      <c r="K886" s="652"/>
      <c r="M886" s="652"/>
      <c r="U886" s="649"/>
      <c r="V886" s="649"/>
      <c r="W886" s="649"/>
    </row>
    <row r="887" spans="1:23">
      <c r="A887" s="647"/>
      <c r="B887" s="648"/>
      <c r="C887" s="649"/>
      <c r="D887" s="649"/>
      <c r="I887" s="652"/>
      <c r="K887" s="652"/>
      <c r="M887" s="652"/>
      <c r="U887" s="649"/>
      <c r="V887" s="649"/>
      <c r="W887" s="649"/>
    </row>
    <row r="888" spans="1:23">
      <c r="A888" s="647"/>
      <c r="B888" s="648"/>
      <c r="C888" s="649"/>
      <c r="D888" s="649"/>
      <c r="I888" s="652"/>
      <c r="K888" s="652"/>
      <c r="M888" s="652"/>
      <c r="U888" s="649"/>
      <c r="V888" s="649"/>
      <c r="W888" s="649"/>
    </row>
    <row r="889" spans="1:23">
      <c r="A889" s="647"/>
      <c r="B889" s="648"/>
      <c r="C889" s="649"/>
      <c r="D889" s="649"/>
      <c r="I889" s="652"/>
      <c r="K889" s="652"/>
      <c r="M889" s="652"/>
      <c r="U889" s="649"/>
      <c r="V889" s="649"/>
      <c r="W889" s="649"/>
    </row>
    <row r="890" spans="1:23">
      <c r="A890" s="647"/>
      <c r="B890" s="648"/>
      <c r="C890" s="649"/>
      <c r="D890" s="649"/>
      <c r="I890" s="652"/>
      <c r="K890" s="652"/>
      <c r="M890" s="652"/>
      <c r="U890" s="649"/>
      <c r="V890" s="649"/>
      <c r="W890" s="649"/>
    </row>
    <row r="891" spans="1:23">
      <c r="A891" s="647"/>
      <c r="B891" s="648"/>
      <c r="C891" s="649"/>
      <c r="D891" s="649"/>
      <c r="I891" s="652"/>
      <c r="K891" s="652"/>
      <c r="M891" s="652"/>
      <c r="U891" s="649"/>
      <c r="V891" s="649"/>
      <c r="W891" s="649"/>
    </row>
    <row r="892" spans="1:23">
      <c r="A892" s="647"/>
      <c r="B892" s="648"/>
      <c r="C892" s="649"/>
      <c r="D892" s="649"/>
      <c r="I892" s="652"/>
      <c r="K892" s="652"/>
      <c r="M892" s="652"/>
      <c r="U892" s="649"/>
      <c r="V892" s="649"/>
      <c r="W892" s="649"/>
    </row>
    <row r="893" spans="1:23">
      <c r="A893" s="647"/>
      <c r="B893" s="648"/>
      <c r="C893" s="649"/>
      <c r="D893" s="649"/>
      <c r="I893" s="652"/>
      <c r="K893" s="652"/>
      <c r="M893" s="652"/>
      <c r="U893" s="649"/>
      <c r="V893" s="649"/>
      <c r="W893" s="649"/>
    </row>
    <row r="894" spans="1:23">
      <c r="A894" s="647"/>
      <c r="B894" s="648"/>
      <c r="C894" s="649"/>
      <c r="D894" s="649"/>
      <c r="I894" s="652"/>
      <c r="K894" s="652"/>
      <c r="M894" s="652"/>
      <c r="U894" s="649"/>
      <c r="V894" s="649"/>
      <c r="W894" s="649"/>
    </row>
    <row r="895" spans="1:23">
      <c r="A895" s="647"/>
      <c r="B895" s="648"/>
      <c r="C895" s="649"/>
      <c r="D895" s="649"/>
      <c r="I895" s="652"/>
      <c r="K895" s="652"/>
      <c r="M895" s="652"/>
      <c r="U895" s="649"/>
      <c r="V895" s="649"/>
      <c r="W895" s="649"/>
    </row>
    <row r="896" spans="1:23">
      <c r="A896" s="647"/>
      <c r="B896" s="648"/>
      <c r="C896" s="649"/>
      <c r="D896" s="649"/>
      <c r="I896" s="652"/>
      <c r="K896" s="652"/>
      <c r="M896" s="652"/>
      <c r="U896" s="649"/>
      <c r="V896" s="649"/>
      <c r="W896" s="649"/>
    </row>
    <row r="897" spans="1:23">
      <c r="A897" s="647"/>
      <c r="B897" s="648"/>
      <c r="C897" s="649"/>
      <c r="D897" s="649"/>
      <c r="I897" s="652"/>
      <c r="K897" s="652"/>
      <c r="M897" s="652"/>
      <c r="U897" s="649"/>
      <c r="V897" s="649"/>
      <c r="W897" s="649"/>
    </row>
    <row r="898" spans="1:23">
      <c r="A898" s="647"/>
      <c r="B898" s="648"/>
      <c r="C898" s="649"/>
      <c r="D898" s="649"/>
      <c r="I898" s="652"/>
      <c r="K898" s="652"/>
      <c r="M898" s="652"/>
      <c r="U898" s="649"/>
      <c r="V898" s="649"/>
      <c r="W898" s="649"/>
    </row>
    <row r="899" spans="1:23">
      <c r="A899" s="647"/>
      <c r="B899" s="648"/>
      <c r="C899" s="649"/>
      <c r="D899" s="649"/>
      <c r="I899" s="652"/>
      <c r="K899" s="652"/>
      <c r="M899" s="652"/>
      <c r="U899" s="649"/>
      <c r="V899" s="649"/>
      <c r="W899" s="649"/>
    </row>
    <row r="900" spans="1:23">
      <c r="A900" s="647"/>
      <c r="B900" s="648"/>
      <c r="C900" s="649"/>
      <c r="D900" s="649"/>
      <c r="I900" s="652"/>
      <c r="K900" s="652"/>
      <c r="M900" s="652"/>
      <c r="U900" s="649"/>
      <c r="V900" s="649"/>
      <c r="W900" s="649"/>
    </row>
    <row r="901" spans="1:23">
      <c r="A901" s="647"/>
      <c r="B901" s="648"/>
      <c r="C901" s="649"/>
      <c r="D901" s="649"/>
      <c r="I901" s="652"/>
      <c r="K901" s="652"/>
      <c r="M901" s="652"/>
      <c r="U901" s="649"/>
      <c r="V901" s="649"/>
      <c r="W901" s="649"/>
    </row>
    <row r="902" spans="1:23">
      <c r="A902" s="647"/>
      <c r="B902" s="648"/>
      <c r="C902" s="649"/>
      <c r="D902" s="649"/>
      <c r="I902" s="652"/>
      <c r="K902" s="652"/>
      <c r="M902" s="652"/>
      <c r="U902" s="649"/>
      <c r="V902" s="649"/>
      <c r="W902" s="649"/>
    </row>
    <row r="903" spans="1:23">
      <c r="A903" s="647"/>
      <c r="B903" s="648"/>
      <c r="C903" s="649"/>
      <c r="D903" s="649"/>
      <c r="I903" s="652"/>
      <c r="K903" s="652"/>
      <c r="M903" s="652"/>
      <c r="U903" s="649"/>
      <c r="V903" s="649"/>
      <c r="W903" s="649"/>
    </row>
    <row r="904" spans="1:23">
      <c r="A904" s="647"/>
      <c r="B904" s="648"/>
      <c r="C904" s="649"/>
      <c r="D904" s="649"/>
      <c r="I904" s="652"/>
      <c r="K904" s="652"/>
      <c r="M904" s="652"/>
      <c r="U904" s="649"/>
      <c r="V904" s="649"/>
      <c r="W904" s="649"/>
    </row>
    <row r="905" spans="1:23">
      <c r="A905" s="647"/>
      <c r="B905" s="648"/>
      <c r="C905" s="649"/>
      <c r="D905" s="649"/>
      <c r="I905" s="652"/>
      <c r="K905" s="652"/>
      <c r="M905" s="652"/>
      <c r="U905" s="649"/>
      <c r="V905" s="649"/>
      <c r="W905" s="649"/>
    </row>
    <row r="906" spans="1:23">
      <c r="A906" s="647"/>
      <c r="B906" s="648"/>
      <c r="C906" s="649"/>
      <c r="D906" s="649"/>
      <c r="I906" s="652"/>
      <c r="K906" s="652"/>
      <c r="M906" s="652"/>
      <c r="U906" s="649"/>
      <c r="V906" s="649"/>
      <c r="W906" s="649"/>
    </row>
    <row r="907" spans="1:23">
      <c r="A907" s="647"/>
      <c r="B907" s="648"/>
      <c r="C907" s="649"/>
      <c r="D907" s="649"/>
      <c r="I907" s="652"/>
      <c r="K907" s="652"/>
      <c r="M907" s="652"/>
      <c r="U907" s="649"/>
      <c r="V907" s="649"/>
      <c r="W907" s="649"/>
    </row>
    <row r="908" spans="1:23">
      <c r="A908" s="647"/>
      <c r="B908" s="648"/>
      <c r="C908" s="649"/>
      <c r="D908" s="649"/>
      <c r="I908" s="652"/>
      <c r="K908" s="652"/>
      <c r="M908" s="652"/>
      <c r="U908" s="649"/>
      <c r="V908" s="649"/>
      <c r="W908" s="649"/>
    </row>
    <row r="909" spans="1:23">
      <c r="A909" s="647"/>
      <c r="B909" s="648"/>
      <c r="C909" s="649"/>
      <c r="D909" s="649"/>
      <c r="I909" s="652"/>
      <c r="K909" s="652"/>
      <c r="M909" s="652"/>
      <c r="U909" s="649"/>
      <c r="V909" s="649"/>
      <c r="W909" s="649"/>
    </row>
    <row r="910" spans="1:23">
      <c r="A910" s="647"/>
      <c r="B910" s="648"/>
      <c r="C910" s="649"/>
      <c r="D910" s="649"/>
      <c r="I910" s="652"/>
      <c r="K910" s="652"/>
      <c r="M910" s="652"/>
      <c r="U910" s="649"/>
      <c r="V910" s="649"/>
      <c r="W910" s="649"/>
    </row>
    <row r="911" spans="1:23">
      <c r="A911" s="647"/>
      <c r="B911" s="648"/>
      <c r="C911" s="649"/>
      <c r="D911" s="649"/>
      <c r="I911" s="652"/>
      <c r="K911" s="652"/>
      <c r="M911" s="652"/>
      <c r="U911" s="649"/>
      <c r="V911" s="649"/>
      <c r="W911" s="649"/>
    </row>
    <row r="912" spans="1:23">
      <c r="A912" s="647"/>
      <c r="B912" s="648"/>
      <c r="C912" s="649"/>
      <c r="D912" s="649"/>
      <c r="I912" s="652"/>
      <c r="K912" s="652"/>
      <c r="M912" s="652"/>
      <c r="U912" s="649"/>
      <c r="V912" s="649"/>
      <c r="W912" s="649"/>
    </row>
    <row r="913" spans="1:23">
      <c r="A913" s="647"/>
      <c r="B913" s="648"/>
      <c r="C913" s="649"/>
      <c r="D913" s="649"/>
      <c r="I913" s="652"/>
      <c r="K913" s="652"/>
      <c r="M913" s="652"/>
      <c r="U913" s="649"/>
      <c r="V913" s="649"/>
      <c r="W913" s="649"/>
    </row>
    <row r="914" spans="1:23">
      <c r="A914" s="647"/>
      <c r="B914" s="648"/>
      <c r="C914" s="649"/>
      <c r="D914" s="649"/>
      <c r="I914" s="652"/>
      <c r="K914" s="652"/>
      <c r="M914" s="652"/>
      <c r="U914" s="649"/>
      <c r="V914" s="649"/>
      <c r="W914" s="649"/>
    </row>
    <row r="915" spans="1:23">
      <c r="A915" s="647"/>
      <c r="B915" s="648"/>
      <c r="C915" s="649"/>
      <c r="D915" s="649"/>
      <c r="I915" s="652"/>
      <c r="K915" s="652"/>
      <c r="M915" s="652"/>
      <c r="U915" s="649"/>
      <c r="V915" s="649"/>
      <c r="W915" s="649"/>
    </row>
    <row r="916" spans="1:23">
      <c r="A916" s="647"/>
      <c r="B916" s="648"/>
      <c r="C916" s="649"/>
      <c r="D916" s="649"/>
      <c r="I916" s="652"/>
      <c r="K916" s="652"/>
      <c r="M916" s="652"/>
      <c r="U916" s="649"/>
      <c r="V916" s="649"/>
      <c r="W916" s="649"/>
    </row>
    <row r="917" spans="1:23">
      <c r="A917" s="647"/>
      <c r="B917" s="648"/>
      <c r="C917" s="649"/>
      <c r="D917" s="649"/>
      <c r="I917" s="652"/>
      <c r="K917" s="652"/>
      <c r="M917" s="652"/>
      <c r="U917" s="649"/>
      <c r="V917" s="649"/>
      <c r="W917" s="649"/>
    </row>
    <row r="918" spans="1:23">
      <c r="A918" s="647"/>
      <c r="B918" s="648"/>
      <c r="C918" s="649"/>
      <c r="D918" s="649"/>
      <c r="I918" s="652"/>
      <c r="K918" s="652"/>
      <c r="M918" s="652"/>
      <c r="U918" s="649"/>
      <c r="V918" s="649"/>
      <c r="W918" s="649"/>
    </row>
    <row r="919" spans="1:23">
      <c r="A919" s="647"/>
      <c r="B919" s="648"/>
      <c r="C919" s="649"/>
      <c r="D919" s="649"/>
      <c r="I919" s="652"/>
      <c r="K919" s="652"/>
      <c r="M919" s="652"/>
      <c r="U919" s="649"/>
      <c r="V919" s="649"/>
      <c r="W919" s="649"/>
    </row>
    <row r="920" spans="1:23">
      <c r="A920" s="647"/>
      <c r="B920" s="648"/>
      <c r="C920" s="649"/>
      <c r="D920" s="649"/>
      <c r="I920" s="652"/>
      <c r="K920" s="652"/>
      <c r="M920" s="652"/>
      <c r="U920" s="649"/>
      <c r="V920" s="649"/>
      <c r="W920" s="649"/>
    </row>
    <row r="921" spans="1:23">
      <c r="A921" s="647"/>
      <c r="B921" s="648"/>
      <c r="C921" s="649"/>
      <c r="D921" s="649"/>
      <c r="I921" s="652"/>
      <c r="K921" s="652"/>
      <c r="M921" s="652"/>
      <c r="U921" s="649"/>
      <c r="V921" s="649"/>
      <c r="W921" s="649"/>
    </row>
    <row r="922" spans="1:23">
      <c r="A922" s="647"/>
      <c r="B922" s="648"/>
      <c r="C922" s="649"/>
      <c r="D922" s="649"/>
      <c r="I922" s="652"/>
      <c r="K922" s="652"/>
      <c r="M922" s="652"/>
      <c r="U922" s="649"/>
      <c r="V922" s="649"/>
      <c r="W922" s="649"/>
    </row>
    <row r="923" spans="1:23">
      <c r="A923" s="647"/>
      <c r="B923" s="648"/>
      <c r="C923" s="649"/>
      <c r="D923" s="649"/>
      <c r="I923" s="652"/>
      <c r="K923" s="652"/>
      <c r="M923" s="652"/>
      <c r="U923" s="649"/>
      <c r="V923" s="649"/>
      <c r="W923" s="649"/>
    </row>
    <row r="924" spans="1:23">
      <c r="A924" s="647"/>
      <c r="B924" s="648"/>
      <c r="C924" s="649"/>
      <c r="D924" s="649"/>
      <c r="I924" s="652"/>
      <c r="K924" s="652"/>
      <c r="M924" s="652"/>
      <c r="U924" s="649"/>
      <c r="V924" s="649"/>
      <c r="W924" s="649"/>
    </row>
    <row r="925" spans="1:23">
      <c r="A925" s="647"/>
      <c r="B925" s="648"/>
      <c r="C925" s="649"/>
      <c r="D925" s="649"/>
      <c r="I925" s="652"/>
      <c r="K925" s="652"/>
      <c r="M925" s="652"/>
      <c r="U925" s="649"/>
      <c r="V925" s="649"/>
      <c r="W925" s="649"/>
    </row>
    <row r="926" spans="1:23">
      <c r="A926" s="647"/>
      <c r="B926" s="648"/>
      <c r="C926" s="649"/>
      <c r="D926" s="649"/>
      <c r="I926" s="652"/>
      <c r="K926" s="652"/>
      <c r="M926" s="652"/>
      <c r="U926" s="649"/>
      <c r="V926" s="649"/>
      <c r="W926" s="649"/>
    </row>
    <row r="927" spans="1:23">
      <c r="A927" s="647"/>
      <c r="B927" s="648"/>
      <c r="C927" s="649"/>
      <c r="D927" s="649"/>
      <c r="I927" s="652"/>
      <c r="K927" s="652"/>
      <c r="M927" s="652"/>
      <c r="U927" s="649"/>
      <c r="V927" s="649"/>
      <c r="W927" s="649"/>
    </row>
    <row r="928" spans="1:23">
      <c r="A928" s="647"/>
      <c r="B928" s="648"/>
      <c r="C928" s="649"/>
      <c r="D928" s="649"/>
      <c r="I928" s="652"/>
      <c r="K928" s="652"/>
      <c r="M928" s="652"/>
      <c r="U928" s="649"/>
      <c r="V928" s="649"/>
      <c r="W928" s="649"/>
    </row>
    <row r="929" spans="1:23">
      <c r="A929" s="647"/>
      <c r="B929" s="648"/>
      <c r="C929" s="649"/>
      <c r="D929" s="649"/>
      <c r="I929" s="652"/>
      <c r="K929" s="652"/>
      <c r="M929" s="652"/>
      <c r="U929" s="649"/>
      <c r="V929" s="649"/>
      <c r="W929" s="649"/>
    </row>
    <row r="930" spans="1:23">
      <c r="A930" s="647"/>
      <c r="B930" s="648"/>
      <c r="C930" s="649"/>
      <c r="D930" s="649"/>
      <c r="I930" s="652"/>
      <c r="K930" s="652"/>
      <c r="M930" s="652"/>
      <c r="U930" s="649"/>
      <c r="V930" s="649"/>
      <c r="W930" s="649"/>
    </row>
    <row r="931" spans="1:23">
      <c r="A931" s="647"/>
      <c r="B931" s="648"/>
      <c r="C931" s="649"/>
      <c r="D931" s="649"/>
      <c r="I931" s="652"/>
      <c r="K931" s="652"/>
      <c r="M931" s="652"/>
      <c r="U931" s="649"/>
      <c r="V931" s="649"/>
      <c r="W931" s="649"/>
    </row>
    <row r="932" spans="1:23">
      <c r="A932" s="647"/>
      <c r="B932" s="648"/>
      <c r="C932" s="649"/>
      <c r="D932" s="649"/>
      <c r="I932" s="652"/>
      <c r="K932" s="652"/>
      <c r="M932" s="652"/>
      <c r="U932" s="649"/>
      <c r="V932" s="649"/>
      <c r="W932" s="649"/>
    </row>
    <row r="933" spans="1:23">
      <c r="A933" s="647"/>
      <c r="B933" s="648"/>
      <c r="C933" s="649"/>
      <c r="D933" s="649"/>
      <c r="I933" s="652"/>
      <c r="K933" s="652"/>
      <c r="M933" s="652"/>
      <c r="U933" s="649"/>
      <c r="V933" s="649"/>
      <c r="W933" s="649"/>
    </row>
    <row r="934" spans="1:23">
      <c r="A934" s="647"/>
      <c r="B934" s="648"/>
      <c r="C934" s="649"/>
      <c r="D934" s="649"/>
      <c r="I934" s="652"/>
      <c r="K934" s="652"/>
      <c r="M934" s="652"/>
      <c r="U934" s="649"/>
      <c r="V934" s="649"/>
      <c r="W934" s="649"/>
    </row>
    <row r="935" spans="1:23">
      <c r="A935" s="647"/>
      <c r="B935" s="648"/>
      <c r="C935" s="649"/>
      <c r="D935" s="649"/>
      <c r="I935" s="652"/>
      <c r="K935" s="652"/>
      <c r="M935" s="652"/>
      <c r="U935" s="649"/>
      <c r="V935" s="649"/>
      <c r="W935" s="649"/>
    </row>
    <row r="936" spans="1:23">
      <c r="A936" s="647"/>
      <c r="B936" s="648"/>
      <c r="C936" s="649"/>
      <c r="D936" s="649"/>
      <c r="I936" s="652"/>
      <c r="K936" s="652"/>
      <c r="M936" s="652"/>
      <c r="U936" s="649"/>
      <c r="V936" s="649"/>
      <c r="W936" s="649"/>
    </row>
    <row r="937" spans="1:23">
      <c r="A937" s="647"/>
      <c r="B937" s="648"/>
      <c r="C937" s="649"/>
      <c r="D937" s="649"/>
      <c r="I937" s="652"/>
      <c r="K937" s="652"/>
      <c r="M937" s="652"/>
      <c r="U937" s="649"/>
      <c r="V937" s="649"/>
      <c r="W937" s="649"/>
    </row>
    <row r="938" spans="1:23">
      <c r="A938" s="647"/>
      <c r="B938" s="648"/>
      <c r="C938" s="649"/>
      <c r="D938" s="649"/>
      <c r="I938" s="652"/>
      <c r="K938" s="652"/>
      <c r="M938" s="652"/>
      <c r="U938" s="649"/>
      <c r="V938" s="649"/>
      <c r="W938" s="649"/>
    </row>
  </sheetData>
  <sheetProtection algorithmName="SHA-512" hashValue="12whdynLUVCS3dq0AFU430TtlfGHJnpu4kfXxC7fsrI7Rj1E2rpy02r1Vj7BRKc2u1hO4K9EFafoSFxNip0aDA==" saltValue="ByAccp/17ULXEF31gFtg/A==" spinCount="100000" sheet="1" objects="1" scenarios="1"/>
  <pageMargins left="0.7" right="0.7" top="0.75" bottom="0.75" header="0.3" footer="0.3"/>
  <pageSetup paperSize="9" scale="84" orientation="landscape"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L210"/>
  <sheetViews>
    <sheetView tabSelected="1" view="pageBreakPreview" zoomScale="40" zoomScaleNormal="115" zoomScaleSheetLayoutView="40" workbookViewId="0">
      <pane ySplit="2" topLeftCell="A3" activePane="bottomLeft" state="frozen"/>
      <selection activeCell="C1" sqref="C1"/>
      <selection pane="bottomLeft" activeCell="E1" sqref="E1:U1048576"/>
    </sheetView>
  </sheetViews>
  <sheetFormatPr defaultRowHeight="14.25"/>
  <cols>
    <col min="1" max="1" width="14.140625" style="621" customWidth="1"/>
    <col min="2" max="2" width="63.85546875" style="608" customWidth="1"/>
    <col min="3" max="3" width="25.7109375" style="691" customWidth="1"/>
    <col min="4" max="4" width="13.42578125" style="691" customWidth="1"/>
    <col min="5" max="6" width="18.7109375" style="691" hidden="1" customWidth="1"/>
    <col min="7" max="7" width="18.5703125" style="691" hidden="1" customWidth="1"/>
    <col min="8" max="9" width="16.140625" style="691" hidden="1" customWidth="1"/>
    <col min="10" max="10" width="21.28515625" style="691" hidden="1" customWidth="1"/>
    <col min="11" max="11" width="18.7109375" style="691" hidden="1" customWidth="1"/>
    <col min="12" max="12" width="14.5703125" style="691" hidden="1" customWidth="1"/>
    <col min="13" max="13" width="13.7109375" style="691" hidden="1" customWidth="1"/>
    <col min="14" max="14" width="15.42578125" style="691" hidden="1" customWidth="1"/>
    <col min="15" max="17" width="13" style="691" hidden="1" customWidth="1"/>
    <col min="18" max="18" width="16.85546875" style="691" hidden="1" customWidth="1"/>
    <col min="19" max="21" width="16.7109375" style="691" hidden="1" customWidth="1"/>
    <col min="22" max="22" width="12.140625" style="594" bestFit="1" customWidth="1"/>
    <col min="23" max="23" width="16.7109375" style="594" customWidth="1"/>
    <col min="24" max="24" width="22" style="661" customWidth="1"/>
    <col min="25" max="90" width="9.140625" style="642"/>
    <col min="91" max="16384" width="9.140625" style="594"/>
  </cols>
  <sheetData>
    <row r="1" spans="1:90" s="616" customFormat="1" ht="28.5" customHeight="1">
      <c r="A1" s="723" t="s">
        <v>2256</v>
      </c>
      <c r="B1" s="656"/>
      <c r="C1" s="657"/>
      <c r="D1" s="658"/>
      <c r="E1" s="658"/>
      <c r="F1" s="658"/>
      <c r="G1" s="658"/>
      <c r="H1" s="658"/>
      <c r="I1" s="658"/>
      <c r="J1" s="658"/>
      <c r="K1" s="658"/>
      <c r="L1" s="658"/>
      <c r="M1" s="658"/>
      <c r="N1" s="658"/>
      <c r="O1" s="658"/>
      <c r="P1" s="658"/>
      <c r="Q1" s="658"/>
      <c r="R1" s="658"/>
      <c r="S1" s="658"/>
      <c r="T1" s="658"/>
      <c r="U1" s="658"/>
      <c r="V1" s="656"/>
      <c r="W1" s="656"/>
      <c r="X1" s="656"/>
      <c r="Y1" s="724"/>
      <c r="Z1" s="724"/>
      <c r="AA1" s="724"/>
      <c r="AB1" s="724"/>
      <c r="AC1" s="724"/>
      <c r="AD1" s="724"/>
      <c r="AE1" s="724"/>
      <c r="AF1" s="724"/>
      <c r="AG1" s="724"/>
      <c r="AH1" s="724"/>
      <c r="AI1" s="724"/>
      <c r="AJ1" s="724"/>
      <c r="AK1" s="724"/>
      <c r="AL1" s="724"/>
      <c r="AM1" s="724"/>
      <c r="AN1" s="725"/>
      <c r="AO1" s="725"/>
      <c r="AP1" s="726"/>
      <c r="AQ1" s="639"/>
      <c r="AR1" s="639"/>
      <c r="AS1" s="639"/>
      <c r="AT1" s="639"/>
      <c r="AU1" s="639"/>
      <c r="AV1" s="639"/>
      <c r="AW1" s="639"/>
      <c r="AX1" s="639"/>
      <c r="AY1" s="639"/>
      <c r="AZ1" s="639"/>
      <c r="BA1" s="639"/>
      <c r="BB1" s="639"/>
      <c r="BC1" s="639"/>
      <c r="BD1" s="639"/>
      <c r="BE1" s="639"/>
      <c r="BF1" s="639"/>
      <c r="BG1" s="639"/>
      <c r="BH1" s="639"/>
      <c r="BI1" s="639"/>
      <c r="BJ1" s="639"/>
      <c r="BK1" s="639"/>
      <c r="BL1" s="639"/>
      <c r="BM1" s="639"/>
      <c r="BN1" s="639"/>
      <c r="BO1" s="639"/>
      <c r="BP1" s="639"/>
      <c r="BQ1" s="639"/>
      <c r="BR1" s="639"/>
      <c r="BS1" s="639"/>
      <c r="BT1" s="639"/>
      <c r="BU1" s="639"/>
      <c r="BV1" s="639"/>
      <c r="BW1" s="639"/>
      <c r="BX1" s="639"/>
      <c r="BY1" s="639"/>
      <c r="BZ1" s="639"/>
      <c r="CA1" s="639"/>
      <c r="CB1" s="639"/>
      <c r="CC1" s="639"/>
      <c r="CD1" s="639"/>
      <c r="CE1" s="639"/>
      <c r="CF1" s="639"/>
      <c r="CG1" s="639"/>
      <c r="CH1" s="639"/>
      <c r="CI1" s="639"/>
      <c r="CJ1" s="639"/>
      <c r="CK1" s="639"/>
      <c r="CL1" s="639"/>
    </row>
    <row r="2" spans="1:90" s="591" customFormat="1" ht="83.25" customHeight="1">
      <c r="A2" s="727" t="s">
        <v>222</v>
      </c>
      <c r="B2" s="614" t="s">
        <v>372</v>
      </c>
      <c r="C2" s="614" t="s">
        <v>230</v>
      </c>
      <c r="D2" s="728" t="s">
        <v>224</v>
      </c>
      <c r="E2" s="619" t="s">
        <v>1137</v>
      </c>
      <c r="F2" s="619" t="s">
        <v>1138</v>
      </c>
      <c r="G2" s="619" t="s">
        <v>1139</v>
      </c>
      <c r="H2" s="619" t="s">
        <v>1140</v>
      </c>
      <c r="I2" s="619" t="s">
        <v>1141</v>
      </c>
      <c r="J2" s="619" t="s">
        <v>1142</v>
      </c>
      <c r="K2" s="619" t="s">
        <v>1143</v>
      </c>
      <c r="L2" s="619" t="s">
        <v>1144</v>
      </c>
      <c r="M2" s="619" t="s">
        <v>1145</v>
      </c>
      <c r="N2" s="620" t="s">
        <v>1146</v>
      </c>
      <c r="O2" s="620" t="s">
        <v>1147</v>
      </c>
      <c r="P2" s="620" t="s">
        <v>1148</v>
      </c>
      <c r="Q2" s="620" t="s">
        <v>1149</v>
      </c>
      <c r="R2" s="620" t="s">
        <v>1150</v>
      </c>
      <c r="S2" s="620" t="s">
        <v>1151</v>
      </c>
      <c r="T2" s="620" t="s">
        <v>1152</v>
      </c>
      <c r="U2" s="620" t="s">
        <v>1305</v>
      </c>
      <c r="V2" s="614" t="s">
        <v>341</v>
      </c>
      <c r="W2" s="614" t="s">
        <v>342</v>
      </c>
      <c r="X2" s="729" t="s">
        <v>343</v>
      </c>
      <c r="Y2" s="640"/>
      <c r="Z2" s="640"/>
      <c r="AA2" s="640"/>
      <c r="AB2" s="640"/>
      <c r="AC2" s="640"/>
      <c r="AD2" s="640"/>
      <c r="AE2" s="640"/>
      <c r="AF2" s="640"/>
      <c r="AG2" s="640"/>
      <c r="AH2" s="640"/>
      <c r="AI2" s="640"/>
      <c r="AJ2" s="640"/>
      <c r="AK2" s="640"/>
      <c r="AL2" s="640"/>
      <c r="AM2" s="640"/>
      <c r="AN2" s="640"/>
      <c r="AO2" s="640"/>
      <c r="AP2" s="640"/>
      <c r="AQ2" s="640"/>
      <c r="AR2" s="640"/>
      <c r="AS2" s="640"/>
      <c r="AT2" s="640"/>
      <c r="AU2" s="640"/>
      <c r="AV2" s="640"/>
      <c r="AW2" s="640"/>
      <c r="AX2" s="640"/>
      <c r="AY2" s="640"/>
      <c r="AZ2" s="640"/>
      <c r="BA2" s="640"/>
      <c r="BB2" s="640"/>
      <c r="BC2" s="640"/>
      <c r="BD2" s="640"/>
      <c r="BE2" s="640"/>
      <c r="BF2" s="640"/>
      <c r="BG2" s="640"/>
      <c r="BH2" s="640"/>
      <c r="BI2" s="640"/>
      <c r="BJ2" s="640"/>
      <c r="BK2" s="640"/>
      <c r="BL2" s="640"/>
      <c r="BM2" s="640"/>
      <c r="BN2" s="640"/>
      <c r="BO2" s="640"/>
      <c r="BP2" s="640"/>
      <c r="BQ2" s="640"/>
      <c r="BR2" s="640"/>
      <c r="BS2" s="640"/>
      <c r="BT2" s="640"/>
      <c r="BU2" s="640"/>
      <c r="BV2" s="640"/>
      <c r="BW2" s="640"/>
      <c r="BX2" s="640"/>
      <c r="BY2" s="640"/>
      <c r="BZ2" s="640"/>
      <c r="CA2" s="640"/>
      <c r="CB2" s="640"/>
      <c r="CC2" s="640"/>
      <c r="CD2" s="640"/>
      <c r="CE2" s="640"/>
      <c r="CF2" s="640"/>
      <c r="CG2" s="640"/>
      <c r="CH2" s="640"/>
      <c r="CI2" s="640"/>
      <c r="CJ2" s="640"/>
      <c r="CK2" s="640"/>
      <c r="CL2" s="640"/>
    </row>
    <row r="3" spans="1:90" s="990" customFormat="1" ht="27" customHeight="1">
      <c r="A3" s="982" t="s">
        <v>58</v>
      </c>
      <c r="B3" s="983" t="s">
        <v>398</v>
      </c>
      <c r="C3" s="1146" t="s">
        <v>2264</v>
      </c>
      <c r="D3" s="1141"/>
      <c r="E3" s="985"/>
      <c r="F3" s="985"/>
      <c r="G3" s="985"/>
      <c r="H3" s="985"/>
      <c r="I3" s="985"/>
      <c r="J3" s="985"/>
      <c r="K3" s="985"/>
      <c r="L3" s="985"/>
      <c r="M3" s="985"/>
      <c r="N3" s="985"/>
      <c r="O3" s="985"/>
      <c r="P3" s="985"/>
      <c r="Q3" s="985"/>
      <c r="R3" s="985"/>
      <c r="S3" s="985"/>
      <c r="T3" s="985"/>
      <c r="U3" s="985"/>
      <c r="V3" s="985"/>
      <c r="W3" s="985"/>
      <c r="X3" s="996">
        <f>X4</f>
        <v>0</v>
      </c>
      <c r="Y3" s="986"/>
      <c r="Z3" s="987"/>
      <c r="AA3" s="987"/>
      <c r="AB3" s="987"/>
      <c r="AC3" s="987"/>
      <c r="AD3" s="987"/>
      <c r="AE3" s="987"/>
      <c r="AF3" s="987"/>
      <c r="AG3" s="987"/>
      <c r="AH3" s="987"/>
      <c r="AI3" s="987"/>
      <c r="AJ3" s="987"/>
      <c r="AK3" s="987"/>
      <c r="AL3" s="987"/>
      <c r="AM3" s="987"/>
      <c r="AN3" s="987"/>
      <c r="AO3" s="987"/>
      <c r="AP3" s="988"/>
      <c r="AQ3" s="989"/>
      <c r="AR3" s="989"/>
      <c r="AS3" s="989"/>
      <c r="AT3" s="989"/>
      <c r="AU3" s="989"/>
      <c r="AV3" s="989"/>
      <c r="AW3" s="989"/>
      <c r="AX3" s="989"/>
      <c r="AY3" s="989"/>
      <c r="AZ3" s="989"/>
      <c r="BA3" s="989"/>
      <c r="BB3" s="989"/>
      <c r="BC3" s="989"/>
      <c r="BD3" s="989"/>
      <c r="BE3" s="989"/>
      <c r="BF3" s="989"/>
      <c r="BG3" s="989"/>
      <c r="BH3" s="989"/>
      <c r="BI3" s="989"/>
      <c r="BJ3" s="989"/>
      <c r="BK3" s="989"/>
      <c r="BL3" s="989"/>
      <c r="BM3" s="989"/>
      <c r="BN3" s="989"/>
      <c r="BO3" s="989"/>
      <c r="BP3" s="989"/>
      <c r="BQ3" s="989"/>
      <c r="BR3" s="989"/>
      <c r="BS3" s="989"/>
      <c r="BT3" s="989"/>
      <c r="BU3" s="989"/>
      <c r="BV3" s="989"/>
      <c r="BW3" s="989"/>
      <c r="BX3" s="989"/>
      <c r="BY3" s="989"/>
      <c r="BZ3" s="989"/>
      <c r="CA3" s="989"/>
      <c r="CB3" s="989"/>
      <c r="CC3" s="989"/>
      <c r="CD3" s="989"/>
      <c r="CE3" s="989"/>
      <c r="CF3" s="989"/>
      <c r="CG3" s="989"/>
      <c r="CH3" s="989"/>
      <c r="CI3" s="989"/>
      <c r="CJ3" s="989"/>
      <c r="CK3" s="989"/>
      <c r="CL3" s="989"/>
    </row>
    <row r="4" spans="1:90" s="592" customFormat="1" ht="16.5" customHeight="1">
      <c r="A4" s="735" t="s">
        <v>2178</v>
      </c>
      <c r="B4" s="736" t="s">
        <v>29</v>
      </c>
      <c r="C4" s="1037"/>
      <c r="D4" s="733"/>
      <c r="E4" s="721"/>
      <c r="F4" s="721"/>
      <c r="G4" s="721"/>
      <c r="H4" s="721"/>
      <c r="I4" s="721"/>
      <c r="J4" s="721"/>
      <c r="K4" s="721"/>
      <c r="L4" s="721"/>
      <c r="M4" s="721"/>
      <c r="N4" s="721"/>
      <c r="O4" s="721"/>
      <c r="P4" s="721"/>
      <c r="Q4" s="721"/>
      <c r="R4" s="721"/>
      <c r="S4" s="721"/>
      <c r="T4" s="721"/>
      <c r="U4" s="721"/>
      <c r="V4" s="778"/>
      <c r="W4" s="722"/>
      <c r="X4" s="722">
        <f>SUM(X5:X56)</f>
        <v>0</v>
      </c>
      <c r="Y4" s="662"/>
      <c r="Z4" s="662"/>
      <c r="AA4" s="662"/>
      <c r="AB4" s="662"/>
      <c r="AC4" s="662"/>
      <c r="AD4" s="662"/>
      <c r="AE4" s="662"/>
      <c r="AF4" s="662"/>
      <c r="AG4" s="662"/>
      <c r="AH4" s="662"/>
      <c r="AI4" s="662"/>
      <c r="AJ4" s="662"/>
      <c r="AK4" s="662"/>
      <c r="AL4" s="662"/>
      <c r="AM4" s="662"/>
      <c r="AN4" s="662"/>
      <c r="AO4" s="662"/>
      <c r="AP4" s="662"/>
      <c r="AQ4" s="662"/>
      <c r="AR4" s="662"/>
      <c r="AS4" s="662"/>
      <c r="AT4" s="662"/>
      <c r="AU4" s="662"/>
      <c r="AV4" s="662"/>
      <c r="AW4" s="662"/>
      <c r="AX4" s="662"/>
      <c r="AY4" s="662"/>
      <c r="AZ4" s="662"/>
      <c r="BA4" s="662"/>
      <c r="BB4" s="662"/>
      <c r="BC4" s="662"/>
      <c r="BD4" s="662"/>
      <c r="BE4" s="662"/>
      <c r="BF4" s="662"/>
      <c r="BG4" s="662"/>
      <c r="BH4" s="662"/>
      <c r="BI4" s="662"/>
      <c r="BJ4" s="662"/>
      <c r="BK4" s="662"/>
      <c r="BL4" s="662"/>
      <c r="BM4" s="662"/>
      <c r="BN4" s="662"/>
      <c r="BO4" s="662"/>
      <c r="BP4" s="662"/>
      <c r="BQ4" s="662"/>
      <c r="BR4" s="662"/>
      <c r="BS4" s="662"/>
      <c r="BT4" s="662"/>
      <c r="BU4" s="662"/>
      <c r="BV4" s="662"/>
      <c r="BW4" s="662"/>
      <c r="BX4" s="662"/>
      <c r="BY4" s="662"/>
      <c r="BZ4" s="662"/>
      <c r="CA4" s="662"/>
      <c r="CB4" s="662"/>
      <c r="CC4" s="662"/>
      <c r="CD4" s="662"/>
      <c r="CE4" s="662"/>
      <c r="CF4" s="662"/>
      <c r="CG4" s="662"/>
      <c r="CH4" s="662"/>
      <c r="CI4" s="662"/>
      <c r="CJ4" s="662"/>
      <c r="CK4" s="662"/>
      <c r="CL4" s="662"/>
    </row>
    <row r="5" spans="1:90" s="603" customFormat="1">
      <c r="A5" s="783" t="s">
        <v>2179</v>
      </c>
      <c r="B5" s="1039" t="s">
        <v>1153</v>
      </c>
      <c r="C5" s="1356" t="s">
        <v>2843</v>
      </c>
      <c r="D5" s="690"/>
      <c r="E5" s="695"/>
      <c r="F5" s="695"/>
      <c r="G5" s="695"/>
      <c r="H5" s="695"/>
      <c r="I5" s="695"/>
      <c r="J5" s="695"/>
      <c r="K5" s="695"/>
      <c r="L5" s="695"/>
      <c r="M5" s="695"/>
      <c r="N5" s="695"/>
      <c r="O5" s="695"/>
      <c r="P5" s="695"/>
      <c r="Q5" s="695"/>
      <c r="R5" s="695"/>
      <c r="S5" s="695"/>
      <c r="T5" s="695"/>
      <c r="U5" s="695"/>
      <c r="V5" s="622"/>
      <c r="W5" s="622"/>
      <c r="X5" s="766"/>
      <c r="Y5" s="769"/>
      <c r="Z5" s="663"/>
      <c r="AA5" s="663"/>
      <c r="AB5" s="663"/>
      <c r="AC5" s="663"/>
      <c r="AD5" s="663"/>
      <c r="AE5" s="663"/>
      <c r="AF5" s="663"/>
      <c r="AG5" s="663"/>
      <c r="AH5" s="663"/>
      <c r="AI5" s="663"/>
      <c r="AJ5" s="663"/>
      <c r="AK5" s="663"/>
      <c r="AL5" s="663"/>
      <c r="AM5" s="663"/>
      <c r="AN5" s="663"/>
      <c r="AO5" s="663"/>
      <c r="AP5" s="663"/>
      <c r="AQ5" s="663"/>
      <c r="AR5" s="663"/>
      <c r="AS5" s="663"/>
      <c r="AT5" s="663"/>
      <c r="AU5" s="663"/>
      <c r="AV5" s="663"/>
      <c r="AW5" s="663"/>
      <c r="AX5" s="663"/>
      <c r="AY5" s="663"/>
      <c r="AZ5" s="663"/>
      <c r="BA5" s="663"/>
      <c r="BB5" s="663"/>
      <c r="BC5" s="663"/>
      <c r="BD5" s="663"/>
      <c r="BE5" s="663"/>
      <c r="BF5" s="663"/>
      <c r="BG5" s="663"/>
      <c r="BH5" s="663"/>
      <c r="BI5" s="663"/>
      <c r="BJ5" s="663"/>
      <c r="BK5" s="663"/>
      <c r="BL5" s="663"/>
      <c r="BM5" s="663"/>
      <c r="BN5" s="663"/>
      <c r="BO5" s="663"/>
      <c r="BP5" s="663"/>
      <c r="BQ5" s="663"/>
      <c r="BR5" s="663"/>
      <c r="BS5" s="663"/>
      <c r="BT5" s="663"/>
      <c r="BU5" s="663"/>
      <c r="BV5" s="663"/>
      <c r="BW5" s="663"/>
      <c r="BX5" s="663"/>
      <c r="BY5" s="663"/>
      <c r="BZ5" s="663"/>
      <c r="CA5" s="663"/>
      <c r="CB5" s="663"/>
      <c r="CC5" s="663"/>
      <c r="CD5" s="663"/>
      <c r="CE5" s="663"/>
      <c r="CF5" s="663"/>
      <c r="CG5" s="663"/>
      <c r="CH5" s="663"/>
      <c r="CI5" s="663"/>
      <c r="CJ5" s="663"/>
      <c r="CK5" s="663"/>
      <c r="CL5" s="663"/>
    </row>
    <row r="6" spans="1:90" s="603" customFormat="1" ht="28.5">
      <c r="A6" s="785" t="s">
        <v>2180</v>
      </c>
      <c r="B6" s="786" t="s">
        <v>2233</v>
      </c>
      <c r="C6" s="746"/>
      <c r="D6" s="746" t="s">
        <v>233</v>
      </c>
      <c r="E6" s="695">
        <v>1</v>
      </c>
      <c r="F6" s="695"/>
      <c r="G6" s="695"/>
      <c r="H6" s="695"/>
      <c r="I6" s="695"/>
      <c r="J6" s="695"/>
      <c r="K6" s="695"/>
      <c r="L6" s="695"/>
      <c r="M6" s="695"/>
      <c r="N6" s="695"/>
      <c r="O6" s="695"/>
      <c r="P6" s="695"/>
      <c r="Q6" s="695"/>
      <c r="R6" s="695"/>
      <c r="S6" s="695"/>
      <c r="T6" s="695"/>
      <c r="U6" s="695"/>
      <c r="V6" s="622">
        <f>SUM(E6:U6)</f>
        <v>1</v>
      </c>
      <c r="W6" s="787"/>
      <c r="X6" s="766">
        <f t="shared" ref="X6:X40" si="0">V6*W6</f>
        <v>0</v>
      </c>
      <c r="Y6" s="769"/>
      <c r="Z6" s="663"/>
      <c r="AA6" s="663"/>
      <c r="AB6" s="663"/>
      <c r="AC6" s="663"/>
      <c r="AD6" s="663"/>
      <c r="AE6" s="663"/>
      <c r="AF6" s="663"/>
      <c r="AG6" s="663"/>
      <c r="AH6" s="663"/>
      <c r="AI6" s="663"/>
      <c r="AJ6" s="663"/>
      <c r="AK6" s="663"/>
      <c r="AL6" s="663"/>
      <c r="AM6" s="663"/>
      <c r="AN6" s="663"/>
      <c r="AO6" s="663"/>
      <c r="AP6" s="663"/>
      <c r="AQ6" s="663"/>
      <c r="AR6" s="663"/>
      <c r="AS6" s="663"/>
      <c r="AT6" s="663"/>
      <c r="AU6" s="663"/>
      <c r="AV6" s="663"/>
      <c r="AW6" s="663"/>
      <c r="AX6" s="663"/>
      <c r="AY6" s="663"/>
      <c r="AZ6" s="663"/>
      <c r="BA6" s="663"/>
      <c r="BB6" s="663"/>
      <c r="BC6" s="663"/>
      <c r="BD6" s="663"/>
      <c r="BE6" s="663"/>
      <c r="BF6" s="663"/>
      <c r="BG6" s="663"/>
      <c r="BH6" s="663"/>
      <c r="BI6" s="663"/>
      <c r="BJ6" s="663"/>
      <c r="BK6" s="663"/>
      <c r="BL6" s="663"/>
      <c r="BM6" s="663"/>
      <c r="BN6" s="663"/>
      <c r="BO6" s="663"/>
      <c r="BP6" s="663"/>
      <c r="BQ6" s="663"/>
      <c r="BR6" s="663"/>
      <c r="BS6" s="663"/>
      <c r="BT6" s="663"/>
      <c r="BU6" s="663"/>
      <c r="BV6" s="663"/>
      <c r="BW6" s="663"/>
      <c r="BX6" s="663"/>
      <c r="BY6" s="663"/>
      <c r="BZ6" s="663"/>
      <c r="CA6" s="663"/>
      <c r="CB6" s="663"/>
      <c r="CC6" s="663"/>
      <c r="CD6" s="663"/>
      <c r="CE6" s="663"/>
      <c r="CF6" s="663"/>
      <c r="CG6" s="663"/>
      <c r="CH6" s="663"/>
      <c r="CI6" s="663"/>
      <c r="CJ6" s="663"/>
      <c r="CK6" s="663"/>
      <c r="CL6" s="663"/>
    </row>
    <row r="7" spans="1:90" s="603" customFormat="1" ht="28.5">
      <c r="A7" s="785" t="s">
        <v>2181</v>
      </c>
      <c r="B7" s="786" t="s">
        <v>2234</v>
      </c>
      <c r="C7" s="1356"/>
      <c r="D7" s="746" t="s">
        <v>233</v>
      </c>
      <c r="E7" s="695"/>
      <c r="F7" s="695">
        <v>1</v>
      </c>
      <c r="G7" s="695"/>
      <c r="H7" s="695"/>
      <c r="I7" s="695"/>
      <c r="J7" s="695"/>
      <c r="K7" s="695"/>
      <c r="L7" s="695"/>
      <c r="M7" s="695"/>
      <c r="N7" s="695"/>
      <c r="O7" s="695"/>
      <c r="P7" s="695"/>
      <c r="Q7" s="695"/>
      <c r="R7" s="695"/>
      <c r="S7" s="695"/>
      <c r="T7" s="695"/>
      <c r="U7" s="695"/>
      <c r="V7" s="622">
        <f t="shared" ref="V7:V40" si="1">SUM(E7:U7)</f>
        <v>1</v>
      </c>
      <c r="W7" s="787"/>
      <c r="X7" s="766">
        <f t="shared" si="0"/>
        <v>0</v>
      </c>
      <c r="Y7" s="769"/>
      <c r="Z7" s="663"/>
      <c r="AA7" s="663"/>
      <c r="AB7" s="663"/>
      <c r="AC7" s="663"/>
      <c r="AD7" s="663"/>
      <c r="AE7" s="663"/>
      <c r="AF7" s="663"/>
      <c r="AG7" s="663"/>
      <c r="AH7" s="663"/>
      <c r="AI7" s="663"/>
      <c r="AJ7" s="663"/>
      <c r="AK7" s="663"/>
      <c r="AL7" s="663"/>
      <c r="AM7" s="663"/>
      <c r="AN7" s="663"/>
      <c r="AO7" s="663"/>
      <c r="AP7" s="663"/>
      <c r="AQ7" s="663"/>
      <c r="AR7" s="663"/>
      <c r="AS7" s="663"/>
      <c r="AT7" s="663"/>
      <c r="AU7" s="663"/>
      <c r="AV7" s="663"/>
      <c r="AW7" s="663"/>
      <c r="AX7" s="663"/>
      <c r="AY7" s="663"/>
      <c r="AZ7" s="663"/>
      <c r="BA7" s="663"/>
      <c r="BB7" s="663"/>
      <c r="BC7" s="663"/>
      <c r="BD7" s="663"/>
      <c r="BE7" s="663"/>
      <c r="BF7" s="663"/>
      <c r="BG7" s="663"/>
      <c r="BH7" s="663"/>
      <c r="BI7" s="663"/>
      <c r="BJ7" s="663"/>
      <c r="BK7" s="663"/>
      <c r="BL7" s="663"/>
      <c r="BM7" s="663"/>
      <c r="BN7" s="663"/>
      <c r="BO7" s="663"/>
      <c r="BP7" s="663"/>
      <c r="BQ7" s="663"/>
      <c r="BR7" s="663"/>
      <c r="BS7" s="663"/>
      <c r="BT7" s="663"/>
      <c r="BU7" s="663"/>
      <c r="BV7" s="663"/>
      <c r="BW7" s="663"/>
      <c r="BX7" s="663"/>
      <c r="BY7" s="663"/>
      <c r="BZ7" s="663"/>
      <c r="CA7" s="663"/>
      <c r="CB7" s="663"/>
      <c r="CC7" s="663"/>
      <c r="CD7" s="663"/>
      <c r="CE7" s="663"/>
      <c r="CF7" s="663"/>
      <c r="CG7" s="663"/>
      <c r="CH7" s="663"/>
      <c r="CI7" s="663"/>
      <c r="CJ7" s="663"/>
      <c r="CK7" s="663"/>
      <c r="CL7" s="663"/>
    </row>
    <row r="8" spans="1:90" s="603" customFormat="1" ht="28.5">
      <c r="A8" s="785" t="s">
        <v>2182</v>
      </c>
      <c r="B8" s="786" t="s">
        <v>2235</v>
      </c>
      <c r="C8" s="1356"/>
      <c r="D8" s="746" t="s">
        <v>233</v>
      </c>
      <c r="E8" s="695"/>
      <c r="F8" s="695"/>
      <c r="G8" s="695">
        <v>1</v>
      </c>
      <c r="H8" s="695"/>
      <c r="I8" s="695"/>
      <c r="J8" s="695"/>
      <c r="K8" s="695"/>
      <c r="L8" s="695"/>
      <c r="M8" s="695"/>
      <c r="N8" s="695"/>
      <c r="O8" s="695"/>
      <c r="P8" s="695"/>
      <c r="Q8" s="695"/>
      <c r="R8" s="695"/>
      <c r="S8" s="695"/>
      <c r="T8" s="695"/>
      <c r="U8" s="695"/>
      <c r="V8" s="622">
        <f t="shared" si="1"/>
        <v>1</v>
      </c>
      <c r="W8" s="787"/>
      <c r="X8" s="766">
        <f t="shared" si="0"/>
        <v>0</v>
      </c>
      <c r="Y8" s="769"/>
      <c r="Z8" s="663"/>
      <c r="AA8" s="663"/>
      <c r="AB8" s="663"/>
      <c r="AC8" s="663"/>
      <c r="AD8" s="663"/>
      <c r="AE8" s="663"/>
      <c r="AF8" s="663"/>
      <c r="AG8" s="663"/>
      <c r="AH8" s="663"/>
      <c r="AI8" s="663"/>
      <c r="AJ8" s="663"/>
      <c r="AK8" s="663"/>
      <c r="AL8" s="663"/>
      <c r="AM8" s="663"/>
      <c r="AN8" s="663"/>
      <c r="AO8" s="663"/>
      <c r="AP8" s="663"/>
      <c r="AQ8" s="663"/>
      <c r="AR8" s="663"/>
      <c r="AS8" s="663"/>
      <c r="AT8" s="663"/>
      <c r="AU8" s="663"/>
      <c r="AV8" s="663"/>
      <c r="AW8" s="663"/>
      <c r="AX8" s="663"/>
      <c r="AY8" s="663"/>
      <c r="AZ8" s="663"/>
      <c r="BA8" s="663"/>
      <c r="BB8" s="663"/>
      <c r="BC8" s="663"/>
      <c r="BD8" s="663"/>
      <c r="BE8" s="663"/>
      <c r="BF8" s="663"/>
      <c r="BG8" s="663"/>
      <c r="BH8" s="663"/>
      <c r="BI8" s="663"/>
      <c r="BJ8" s="663"/>
      <c r="BK8" s="663"/>
      <c r="BL8" s="663"/>
      <c r="BM8" s="663"/>
      <c r="BN8" s="663"/>
      <c r="BO8" s="663"/>
      <c r="BP8" s="663"/>
      <c r="BQ8" s="663"/>
      <c r="BR8" s="663"/>
      <c r="BS8" s="663"/>
      <c r="BT8" s="663"/>
      <c r="BU8" s="663"/>
      <c r="BV8" s="663"/>
      <c r="BW8" s="663"/>
      <c r="BX8" s="663"/>
      <c r="BY8" s="663"/>
      <c r="BZ8" s="663"/>
      <c r="CA8" s="663"/>
      <c r="CB8" s="663"/>
      <c r="CC8" s="663"/>
      <c r="CD8" s="663"/>
      <c r="CE8" s="663"/>
      <c r="CF8" s="663"/>
      <c r="CG8" s="663"/>
      <c r="CH8" s="663"/>
      <c r="CI8" s="663"/>
      <c r="CJ8" s="663"/>
      <c r="CK8" s="663"/>
      <c r="CL8" s="663"/>
    </row>
    <row r="9" spans="1:90" s="603" customFormat="1" ht="28.5">
      <c r="A9" s="785" t="s">
        <v>2183</v>
      </c>
      <c r="B9" s="786" t="s">
        <v>2236</v>
      </c>
      <c r="C9" s="1356"/>
      <c r="D9" s="746" t="s">
        <v>233</v>
      </c>
      <c r="E9" s="695"/>
      <c r="F9" s="695"/>
      <c r="G9" s="695"/>
      <c r="H9" s="695">
        <v>1</v>
      </c>
      <c r="I9" s="695"/>
      <c r="J9" s="695"/>
      <c r="K9" s="695"/>
      <c r="L9" s="695"/>
      <c r="M9" s="695"/>
      <c r="N9" s="695"/>
      <c r="O9" s="695"/>
      <c r="P9" s="695"/>
      <c r="Q9" s="695"/>
      <c r="R9" s="695"/>
      <c r="S9" s="695"/>
      <c r="T9" s="695"/>
      <c r="U9" s="695"/>
      <c r="V9" s="622">
        <f t="shared" si="1"/>
        <v>1</v>
      </c>
      <c r="W9" s="787"/>
      <c r="X9" s="766">
        <f t="shared" si="0"/>
        <v>0</v>
      </c>
      <c r="Y9" s="769"/>
      <c r="Z9" s="663"/>
      <c r="AA9" s="663"/>
      <c r="AB9" s="663"/>
      <c r="AC9" s="663"/>
      <c r="AD9" s="663"/>
      <c r="AE9" s="663"/>
      <c r="AF9" s="663"/>
      <c r="AG9" s="663"/>
      <c r="AH9" s="663"/>
      <c r="AI9" s="663"/>
      <c r="AJ9" s="663"/>
      <c r="AK9" s="663"/>
      <c r="AL9" s="663"/>
      <c r="AM9" s="663"/>
      <c r="AN9" s="663"/>
      <c r="AO9" s="663"/>
      <c r="AP9" s="663"/>
      <c r="AQ9" s="663"/>
      <c r="AR9" s="663"/>
      <c r="AS9" s="663"/>
      <c r="AT9" s="663"/>
      <c r="AU9" s="663"/>
      <c r="AV9" s="663"/>
      <c r="AW9" s="663"/>
      <c r="AX9" s="663"/>
      <c r="AY9" s="663"/>
      <c r="AZ9" s="663"/>
      <c r="BA9" s="663"/>
      <c r="BB9" s="663"/>
      <c r="BC9" s="663"/>
      <c r="BD9" s="663"/>
      <c r="BE9" s="663"/>
      <c r="BF9" s="663"/>
      <c r="BG9" s="663"/>
      <c r="BH9" s="663"/>
      <c r="BI9" s="663"/>
      <c r="BJ9" s="663"/>
      <c r="BK9" s="663"/>
      <c r="BL9" s="663"/>
      <c r="BM9" s="663"/>
      <c r="BN9" s="663"/>
      <c r="BO9" s="663"/>
      <c r="BP9" s="663"/>
      <c r="BQ9" s="663"/>
      <c r="BR9" s="663"/>
      <c r="BS9" s="663"/>
      <c r="BT9" s="663"/>
      <c r="BU9" s="663"/>
      <c r="BV9" s="663"/>
      <c r="BW9" s="663"/>
      <c r="BX9" s="663"/>
      <c r="BY9" s="663"/>
      <c r="BZ9" s="663"/>
      <c r="CA9" s="663"/>
      <c r="CB9" s="663"/>
      <c r="CC9" s="663"/>
      <c r="CD9" s="663"/>
      <c r="CE9" s="663"/>
      <c r="CF9" s="663"/>
      <c r="CG9" s="663"/>
      <c r="CH9" s="663"/>
      <c r="CI9" s="663"/>
      <c r="CJ9" s="663"/>
      <c r="CK9" s="663"/>
      <c r="CL9" s="663"/>
    </row>
    <row r="10" spans="1:90" s="603" customFormat="1" ht="28.5">
      <c r="A10" s="785" t="s">
        <v>2184</v>
      </c>
      <c r="B10" s="786" t="s">
        <v>2237</v>
      </c>
      <c r="C10" s="1356"/>
      <c r="D10" s="746" t="s">
        <v>233</v>
      </c>
      <c r="E10" s="695"/>
      <c r="F10" s="695"/>
      <c r="G10" s="695"/>
      <c r="H10" s="695"/>
      <c r="I10" s="695">
        <v>1</v>
      </c>
      <c r="J10" s="695"/>
      <c r="K10" s="695"/>
      <c r="L10" s="695"/>
      <c r="M10" s="695"/>
      <c r="N10" s="695"/>
      <c r="O10" s="695"/>
      <c r="P10" s="695"/>
      <c r="Q10" s="695"/>
      <c r="R10" s="695"/>
      <c r="S10" s="695"/>
      <c r="T10" s="695"/>
      <c r="U10" s="695"/>
      <c r="V10" s="622">
        <f t="shared" si="1"/>
        <v>1</v>
      </c>
      <c r="W10" s="787"/>
      <c r="X10" s="766">
        <f t="shared" si="0"/>
        <v>0</v>
      </c>
      <c r="Y10" s="769"/>
      <c r="Z10" s="663"/>
      <c r="AA10" s="663"/>
      <c r="AB10" s="663"/>
      <c r="AC10" s="663"/>
      <c r="AD10" s="663"/>
      <c r="AE10" s="663"/>
      <c r="AF10" s="663"/>
      <c r="AG10" s="663"/>
      <c r="AH10" s="663"/>
      <c r="AI10" s="663"/>
      <c r="AJ10" s="663"/>
      <c r="AK10" s="663"/>
      <c r="AL10" s="663"/>
      <c r="AM10" s="663"/>
      <c r="AN10" s="663"/>
      <c r="AO10" s="663"/>
      <c r="AP10" s="663"/>
      <c r="AQ10" s="663"/>
      <c r="AR10" s="663"/>
      <c r="AS10" s="663"/>
      <c r="AT10" s="663"/>
      <c r="AU10" s="663"/>
      <c r="AV10" s="663"/>
      <c r="AW10" s="663"/>
      <c r="AX10" s="663"/>
      <c r="AY10" s="663"/>
      <c r="AZ10" s="663"/>
      <c r="BA10" s="663"/>
      <c r="BB10" s="663"/>
      <c r="BC10" s="663"/>
      <c r="BD10" s="663"/>
      <c r="BE10" s="663"/>
      <c r="BF10" s="663"/>
      <c r="BG10" s="663"/>
      <c r="BH10" s="663"/>
      <c r="BI10" s="663"/>
      <c r="BJ10" s="663"/>
      <c r="BK10" s="663"/>
      <c r="BL10" s="663"/>
      <c r="BM10" s="663"/>
      <c r="BN10" s="663"/>
      <c r="BO10" s="663"/>
      <c r="BP10" s="663"/>
      <c r="BQ10" s="663"/>
      <c r="BR10" s="663"/>
      <c r="BS10" s="663"/>
      <c r="BT10" s="663"/>
      <c r="BU10" s="663"/>
      <c r="BV10" s="663"/>
      <c r="BW10" s="663"/>
      <c r="BX10" s="663"/>
      <c r="BY10" s="663"/>
      <c r="BZ10" s="663"/>
      <c r="CA10" s="663"/>
      <c r="CB10" s="663"/>
      <c r="CC10" s="663"/>
      <c r="CD10" s="663"/>
      <c r="CE10" s="663"/>
      <c r="CF10" s="663"/>
      <c r="CG10" s="663"/>
      <c r="CH10" s="663"/>
      <c r="CI10" s="663"/>
      <c r="CJ10" s="663"/>
      <c r="CK10" s="663"/>
      <c r="CL10" s="663"/>
    </row>
    <row r="11" spans="1:90" s="603" customFormat="1" ht="28.5">
      <c r="A11" s="785" t="s">
        <v>2185</v>
      </c>
      <c r="B11" s="786" t="s">
        <v>2238</v>
      </c>
      <c r="C11" s="1356"/>
      <c r="D11" s="746" t="s">
        <v>233</v>
      </c>
      <c r="E11" s="695"/>
      <c r="F11" s="695"/>
      <c r="G11" s="695"/>
      <c r="H11" s="695"/>
      <c r="I11" s="695"/>
      <c r="J11" s="695">
        <v>1</v>
      </c>
      <c r="K11" s="695"/>
      <c r="L11" s="695"/>
      <c r="M11" s="695"/>
      <c r="N11" s="695"/>
      <c r="O11" s="695"/>
      <c r="P11" s="695"/>
      <c r="Q11" s="695"/>
      <c r="R11" s="695"/>
      <c r="S11" s="695"/>
      <c r="T11" s="695"/>
      <c r="U11" s="695"/>
      <c r="V11" s="622">
        <f t="shared" si="1"/>
        <v>1</v>
      </c>
      <c r="W11" s="787"/>
      <c r="X11" s="766">
        <f t="shared" si="0"/>
        <v>0</v>
      </c>
      <c r="Y11" s="769"/>
      <c r="Z11" s="663"/>
      <c r="AA11" s="663"/>
      <c r="AB11" s="663"/>
      <c r="AC11" s="663"/>
      <c r="AD11" s="663"/>
      <c r="AE11" s="663"/>
      <c r="AF11" s="663"/>
      <c r="AG11" s="663"/>
      <c r="AH11" s="663"/>
      <c r="AI11" s="663"/>
      <c r="AJ11" s="663"/>
      <c r="AK11" s="663"/>
      <c r="AL11" s="663"/>
      <c r="AM11" s="663"/>
      <c r="AN11" s="663"/>
      <c r="AO11" s="663"/>
      <c r="AP11" s="663"/>
      <c r="AQ11" s="663"/>
      <c r="AR11" s="663"/>
      <c r="AS11" s="663"/>
      <c r="AT11" s="663"/>
      <c r="AU11" s="663"/>
      <c r="AV11" s="663"/>
      <c r="AW11" s="663"/>
      <c r="AX11" s="663"/>
      <c r="AY11" s="663"/>
      <c r="AZ11" s="663"/>
      <c r="BA11" s="663"/>
      <c r="BB11" s="663"/>
      <c r="BC11" s="663"/>
      <c r="BD11" s="663"/>
      <c r="BE11" s="663"/>
      <c r="BF11" s="663"/>
      <c r="BG11" s="663"/>
      <c r="BH11" s="663"/>
      <c r="BI11" s="663"/>
      <c r="BJ11" s="663"/>
      <c r="BK11" s="663"/>
      <c r="BL11" s="663"/>
      <c r="BM11" s="663"/>
      <c r="BN11" s="663"/>
      <c r="BO11" s="663"/>
      <c r="BP11" s="663"/>
      <c r="BQ11" s="663"/>
      <c r="BR11" s="663"/>
      <c r="BS11" s="663"/>
      <c r="BT11" s="663"/>
      <c r="BU11" s="663"/>
      <c r="BV11" s="663"/>
      <c r="BW11" s="663"/>
      <c r="BX11" s="663"/>
      <c r="BY11" s="663"/>
      <c r="BZ11" s="663"/>
      <c r="CA11" s="663"/>
      <c r="CB11" s="663"/>
      <c r="CC11" s="663"/>
      <c r="CD11" s="663"/>
      <c r="CE11" s="663"/>
      <c r="CF11" s="663"/>
      <c r="CG11" s="663"/>
      <c r="CH11" s="663"/>
      <c r="CI11" s="663"/>
      <c r="CJ11" s="663"/>
      <c r="CK11" s="663"/>
      <c r="CL11" s="663"/>
    </row>
    <row r="12" spans="1:90" s="603" customFormat="1" ht="28.5">
      <c r="A12" s="785" t="s">
        <v>2186</v>
      </c>
      <c r="B12" s="786" t="s">
        <v>2239</v>
      </c>
      <c r="C12" s="1356"/>
      <c r="D12" s="746" t="s">
        <v>233</v>
      </c>
      <c r="E12" s="695"/>
      <c r="F12" s="695"/>
      <c r="G12" s="695"/>
      <c r="H12" s="695"/>
      <c r="I12" s="695"/>
      <c r="J12" s="695"/>
      <c r="K12" s="695">
        <v>1</v>
      </c>
      <c r="L12" s="695"/>
      <c r="M12" s="695"/>
      <c r="N12" s="695"/>
      <c r="O12" s="695"/>
      <c r="P12" s="695"/>
      <c r="Q12" s="695"/>
      <c r="R12" s="695"/>
      <c r="S12" s="695"/>
      <c r="T12" s="695"/>
      <c r="U12" s="695"/>
      <c r="V12" s="622">
        <f t="shared" si="1"/>
        <v>1</v>
      </c>
      <c r="W12" s="787"/>
      <c r="X12" s="766">
        <f t="shared" si="0"/>
        <v>0</v>
      </c>
      <c r="Y12" s="769"/>
      <c r="Z12" s="663"/>
      <c r="AA12" s="663"/>
      <c r="AB12" s="663"/>
      <c r="AC12" s="663"/>
      <c r="AD12" s="663"/>
      <c r="AE12" s="663"/>
      <c r="AF12" s="663"/>
      <c r="AG12" s="663"/>
      <c r="AH12" s="663"/>
      <c r="AI12" s="663"/>
      <c r="AJ12" s="663"/>
      <c r="AK12" s="663"/>
      <c r="AL12" s="663"/>
      <c r="AM12" s="663"/>
      <c r="AN12" s="663"/>
      <c r="AO12" s="663"/>
      <c r="AP12" s="663"/>
      <c r="AQ12" s="663"/>
      <c r="AR12" s="663"/>
      <c r="AS12" s="663"/>
      <c r="AT12" s="663"/>
      <c r="AU12" s="663"/>
      <c r="AV12" s="663"/>
      <c r="AW12" s="663"/>
      <c r="AX12" s="663"/>
      <c r="AY12" s="663"/>
      <c r="AZ12" s="663"/>
      <c r="BA12" s="663"/>
      <c r="BB12" s="663"/>
      <c r="BC12" s="663"/>
      <c r="BD12" s="663"/>
      <c r="BE12" s="663"/>
      <c r="BF12" s="663"/>
      <c r="BG12" s="663"/>
      <c r="BH12" s="663"/>
      <c r="BI12" s="663"/>
      <c r="BJ12" s="663"/>
      <c r="BK12" s="663"/>
      <c r="BL12" s="663"/>
      <c r="BM12" s="663"/>
      <c r="BN12" s="663"/>
      <c r="BO12" s="663"/>
      <c r="BP12" s="663"/>
      <c r="BQ12" s="663"/>
      <c r="BR12" s="663"/>
      <c r="BS12" s="663"/>
      <c r="BT12" s="663"/>
      <c r="BU12" s="663"/>
      <c r="BV12" s="663"/>
      <c r="BW12" s="663"/>
      <c r="BX12" s="663"/>
      <c r="BY12" s="663"/>
      <c r="BZ12" s="663"/>
      <c r="CA12" s="663"/>
      <c r="CB12" s="663"/>
      <c r="CC12" s="663"/>
      <c r="CD12" s="663"/>
      <c r="CE12" s="663"/>
      <c r="CF12" s="663"/>
      <c r="CG12" s="663"/>
      <c r="CH12" s="663"/>
      <c r="CI12" s="663"/>
      <c r="CJ12" s="663"/>
      <c r="CK12" s="663"/>
      <c r="CL12" s="663"/>
    </row>
    <row r="13" spans="1:90" s="603" customFormat="1" ht="28.5">
      <c r="A13" s="785" t="s">
        <v>2187</v>
      </c>
      <c r="B13" s="786" t="s">
        <v>2240</v>
      </c>
      <c r="C13" s="1356"/>
      <c r="D13" s="746" t="s">
        <v>233</v>
      </c>
      <c r="E13" s="695"/>
      <c r="F13" s="695"/>
      <c r="G13" s="695"/>
      <c r="H13" s="695"/>
      <c r="I13" s="695"/>
      <c r="J13" s="695"/>
      <c r="K13" s="695"/>
      <c r="L13" s="695">
        <v>1</v>
      </c>
      <c r="M13" s="695"/>
      <c r="N13" s="695"/>
      <c r="O13" s="695"/>
      <c r="P13" s="695"/>
      <c r="Q13" s="695"/>
      <c r="R13" s="695"/>
      <c r="S13" s="695"/>
      <c r="T13" s="695"/>
      <c r="U13" s="695"/>
      <c r="V13" s="622">
        <f t="shared" si="1"/>
        <v>1</v>
      </c>
      <c r="W13" s="787"/>
      <c r="X13" s="766">
        <f t="shared" si="0"/>
        <v>0</v>
      </c>
      <c r="Y13" s="769"/>
      <c r="Z13" s="663"/>
      <c r="AA13" s="663"/>
      <c r="AB13" s="663"/>
      <c r="AC13" s="663"/>
      <c r="AD13" s="663"/>
      <c r="AE13" s="663"/>
      <c r="AF13" s="663"/>
      <c r="AG13" s="663"/>
      <c r="AH13" s="663"/>
      <c r="AI13" s="663"/>
      <c r="AJ13" s="663"/>
      <c r="AK13" s="663"/>
      <c r="AL13" s="663"/>
      <c r="AM13" s="663"/>
      <c r="AN13" s="663"/>
      <c r="AO13" s="663"/>
      <c r="AP13" s="663"/>
      <c r="AQ13" s="663"/>
      <c r="AR13" s="663"/>
      <c r="AS13" s="663"/>
      <c r="AT13" s="663"/>
      <c r="AU13" s="663"/>
      <c r="AV13" s="663"/>
      <c r="AW13" s="663"/>
      <c r="AX13" s="663"/>
      <c r="AY13" s="663"/>
      <c r="AZ13" s="663"/>
      <c r="BA13" s="663"/>
      <c r="BB13" s="663"/>
      <c r="BC13" s="663"/>
      <c r="BD13" s="663"/>
      <c r="BE13" s="663"/>
      <c r="BF13" s="663"/>
      <c r="BG13" s="663"/>
      <c r="BH13" s="663"/>
      <c r="BI13" s="663"/>
      <c r="BJ13" s="663"/>
      <c r="BK13" s="663"/>
      <c r="BL13" s="663"/>
      <c r="BM13" s="663"/>
      <c r="BN13" s="663"/>
      <c r="BO13" s="663"/>
      <c r="BP13" s="663"/>
      <c r="BQ13" s="663"/>
      <c r="BR13" s="663"/>
      <c r="BS13" s="663"/>
      <c r="BT13" s="663"/>
      <c r="BU13" s="663"/>
      <c r="BV13" s="663"/>
      <c r="BW13" s="663"/>
      <c r="BX13" s="663"/>
      <c r="BY13" s="663"/>
      <c r="BZ13" s="663"/>
      <c r="CA13" s="663"/>
      <c r="CB13" s="663"/>
      <c r="CC13" s="663"/>
      <c r="CD13" s="663"/>
      <c r="CE13" s="663"/>
      <c r="CF13" s="663"/>
      <c r="CG13" s="663"/>
      <c r="CH13" s="663"/>
      <c r="CI13" s="663"/>
      <c r="CJ13" s="663"/>
      <c r="CK13" s="663"/>
      <c r="CL13" s="663"/>
    </row>
    <row r="14" spans="1:90" s="603" customFormat="1" ht="28.5">
      <c r="A14" s="785" t="s">
        <v>2188</v>
      </c>
      <c r="B14" s="786" t="s">
        <v>2241</v>
      </c>
      <c r="C14" s="1356"/>
      <c r="D14" s="746" t="s">
        <v>233</v>
      </c>
      <c r="E14" s="695"/>
      <c r="F14" s="695"/>
      <c r="G14" s="695"/>
      <c r="H14" s="695"/>
      <c r="I14" s="695"/>
      <c r="J14" s="695"/>
      <c r="K14" s="695"/>
      <c r="L14" s="695"/>
      <c r="M14" s="695">
        <v>1</v>
      </c>
      <c r="N14" s="695"/>
      <c r="O14" s="695"/>
      <c r="P14" s="695"/>
      <c r="Q14" s="695"/>
      <c r="R14" s="695"/>
      <c r="S14" s="695"/>
      <c r="T14" s="695"/>
      <c r="U14" s="695"/>
      <c r="V14" s="622">
        <f t="shared" si="1"/>
        <v>1</v>
      </c>
      <c r="W14" s="787"/>
      <c r="X14" s="766">
        <f t="shared" si="0"/>
        <v>0</v>
      </c>
      <c r="Y14" s="769"/>
      <c r="Z14" s="663"/>
      <c r="AA14" s="663"/>
      <c r="AB14" s="663"/>
      <c r="AC14" s="663"/>
      <c r="AD14" s="663"/>
      <c r="AE14" s="663"/>
      <c r="AF14" s="663"/>
      <c r="AG14" s="663"/>
      <c r="AH14" s="663"/>
      <c r="AI14" s="663"/>
      <c r="AJ14" s="663"/>
      <c r="AK14" s="663"/>
      <c r="AL14" s="663"/>
      <c r="AM14" s="663"/>
      <c r="AN14" s="663"/>
      <c r="AO14" s="663"/>
      <c r="AP14" s="663"/>
      <c r="AQ14" s="663"/>
      <c r="AR14" s="663"/>
      <c r="AS14" s="663"/>
      <c r="AT14" s="663"/>
      <c r="AU14" s="663"/>
      <c r="AV14" s="663"/>
      <c r="AW14" s="663"/>
      <c r="AX14" s="663"/>
      <c r="AY14" s="663"/>
      <c r="AZ14" s="663"/>
      <c r="BA14" s="663"/>
      <c r="BB14" s="663"/>
      <c r="BC14" s="663"/>
      <c r="BD14" s="663"/>
      <c r="BE14" s="663"/>
      <c r="BF14" s="663"/>
      <c r="BG14" s="663"/>
      <c r="BH14" s="663"/>
      <c r="BI14" s="663"/>
      <c r="BJ14" s="663"/>
      <c r="BK14" s="663"/>
      <c r="BL14" s="663"/>
      <c r="BM14" s="663"/>
      <c r="BN14" s="663"/>
      <c r="BO14" s="663"/>
      <c r="BP14" s="663"/>
      <c r="BQ14" s="663"/>
      <c r="BR14" s="663"/>
      <c r="BS14" s="663"/>
      <c r="BT14" s="663"/>
      <c r="BU14" s="663"/>
      <c r="BV14" s="663"/>
      <c r="BW14" s="663"/>
      <c r="BX14" s="663"/>
      <c r="BY14" s="663"/>
      <c r="BZ14" s="663"/>
      <c r="CA14" s="663"/>
      <c r="CB14" s="663"/>
      <c r="CC14" s="663"/>
      <c r="CD14" s="663"/>
      <c r="CE14" s="663"/>
      <c r="CF14" s="663"/>
      <c r="CG14" s="663"/>
      <c r="CH14" s="663"/>
      <c r="CI14" s="663"/>
      <c r="CJ14" s="663"/>
      <c r="CK14" s="663"/>
      <c r="CL14" s="663"/>
    </row>
    <row r="15" spans="1:90" s="603" customFormat="1" ht="28.5">
      <c r="A15" s="785" t="s">
        <v>2189</v>
      </c>
      <c r="B15" s="786" t="s">
        <v>2242</v>
      </c>
      <c r="C15" s="1356"/>
      <c r="D15" s="746" t="s">
        <v>233</v>
      </c>
      <c r="E15" s="695"/>
      <c r="F15" s="695"/>
      <c r="G15" s="695"/>
      <c r="H15" s="695"/>
      <c r="I15" s="695"/>
      <c r="J15" s="695"/>
      <c r="K15" s="695"/>
      <c r="L15" s="695"/>
      <c r="M15" s="695"/>
      <c r="N15" s="695">
        <v>1</v>
      </c>
      <c r="O15" s="695"/>
      <c r="P15" s="695"/>
      <c r="Q15" s="695"/>
      <c r="R15" s="695"/>
      <c r="S15" s="695"/>
      <c r="T15" s="695"/>
      <c r="U15" s="695"/>
      <c r="V15" s="622">
        <f t="shared" si="1"/>
        <v>1</v>
      </c>
      <c r="W15" s="787"/>
      <c r="X15" s="766">
        <f t="shared" si="0"/>
        <v>0</v>
      </c>
      <c r="Y15" s="769"/>
      <c r="Z15" s="663"/>
      <c r="AA15" s="663"/>
      <c r="AB15" s="663"/>
      <c r="AC15" s="663"/>
      <c r="AD15" s="663"/>
      <c r="AE15" s="663"/>
      <c r="AF15" s="663"/>
      <c r="AG15" s="663"/>
      <c r="AH15" s="663"/>
      <c r="AI15" s="663"/>
      <c r="AJ15" s="663"/>
      <c r="AK15" s="663"/>
      <c r="AL15" s="663"/>
      <c r="AM15" s="663"/>
      <c r="AN15" s="663"/>
      <c r="AO15" s="663"/>
      <c r="AP15" s="663"/>
      <c r="AQ15" s="663"/>
      <c r="AR15" s="663"/>
      <c r="AS15" s="663"/>
      <c r="AT15" s="663"/>
      <c r="AU15" s="663"/>
      <c r="AV15" s="663"/>
      <c r="AW15" s="663"/>
      <c r="AX15" s="663"/>
      <c r="AY15" s="663"/>
      <c r="AZ15" s="663"/>
      <c r="BA15" s="663"/>
      <c r="BB15" s="663"/>
      <c r="BC15" s="663"/>
      <c r="BD15" s="663"/>
      <c r="BE15" s="663"/>
      <c r="BF15" s="663"/>
      <c r="BG15" s="663"/>
      <c r="BH15" s="663"/>
      <c r="BI15" s="663"/>
      <c r="BJ15" s="663"/>
      <c r="BK15" s="663"/>
      <c r="BL15" s="663"/>
      <c r="BM15" s="663"/>
      <c r="BN15" s="663"/>
      <c r="BO15" s="663"/>
      <c r="BP15" s="663"/>
      <c r="BQ15" s="663"/>
      <c r="BR15" s="663"/>
      <c r="BS15" s="663"/>
      <c r="BT15" s="663"/>
      <c r="BU15" s="663"/>
      <c r="BV15" s="663"/>
      <c r="BW15" s="663"/>
      <c r="BX15" s="663"/>
      <c r="BY15" s="663"/>
      <c r="BZ15" s="663"/>
      <c r="CA15" s="663"/>
      <c r="CB15" s="663"/>
      <c r="CC15" s="663"/>
      <c r="CD15" s="663"/>
      <c r="CE15" s="663"/>
      <c r="CF15" s="663"/>
      <c r="CG15" s="663"/>
      <c r="CH15" s="663"/>
      <c r="CI15" s="663"/>
      <c r="CJ15" s="663"/>
      <c r="CK15" s="663"/>
      <c r="CL15" s="663"/>
    </row>
    <row r="16" spans="1:90" s="603" customFormat="1" ht="28.5">
      <c r="A16" s="785" t="s">
        <v>2190</v>
      </c>
      <c r="B16" s="786" t="s">
        <v>2243</v>
      </c>
      <c r="C16" s="1356"/>
      <c r="D16" s="746" t="s">
        <v>233</v>
      </c>
      <c r="E16" s="695"/>
      <c r="F16" s="695"/>
      <c r="G16" s="695"/>
      <c r="H16" s="695"/>
      <c r="I16" s="695"/>
      <c r="J16" s="695"/>
      <c r="K16" s="695"/>
      <c r="L16" s="695"/>
      <c r="M16" s="695"/>
      <c r="N16" s="695"/>
      <c r="O16" s="695">
        <v>1</v>
      </c>
      <c r="P16" s="695"/>
      <c r="Q16" s="695"/>
      <c r="R16" s="695"/>
      <c r="S16" s="695"/>
      <c r="T16" s="695"/>
      <c r="U16" s="695"/>
      <c r="V16" s="622">
        <f t="shared" si="1"/>
        <v>1</v>
      </c>
      <c r="W16" s="787"/>
      <c r="X16" s="766">
        <f t="shared" si="0"/>
        <v>0</v>
      </c>
      <c r="Y16" s="769"/>
      <c r="Z16" s="663"/>
      <c r="AA16" s="663"/>
      <c r="AB16" s="663"/>
      <c r="AC16" s="663"/>
      <c r="AD16" s="663"/>
      <c r="AE16" s="663"/>
      <c r="AF16" s="663"/>
      <c r="AG16" s="663"/>
      <c r="AH16" s="663"/>
      <c r="AI16" s="663"/>
      <c r="AJ16" s="663"/>
      <c r="AK16" s="663"/>
      <c r="AL16" s="663"/>
      <c r="AM16" s="663"/>
      <c r="AN16" s="663"/>
      <c r="AO16" s="663"/>
      <c r="AP16" s="663"/>
      <c r="AQ16" s="663"/>
      <c r="AR16" s="663"/>
      <c r="AS16" s="663"/>
      <c r="AT16" s="663"/>
      <c r="AU16" s="663"/>
      <c r="AV16" s="663"/>
      <c r="AW16" s="663"/>
      <c r="AX16" s="663"/>
      <c r="AY16" s="663"/>
      <c r="AZ16" s="663"/>
      <c r="BA16" s="663"/>
      <c r="BB16" s="663"/>
      <c r="BC16" s="663"/>
      <c r="BD16" s="663"/>
      <c r="BE16" s="663"/>
      <c r="BF16" s="663"/>
      <c r="BG16" s="663"/>
      <c r="BH16" s="663"/>
      <c r="BI16" s="663"/>
      <c r="BJ16" s="663"/>
      <c r="BK16" s="663"/>
      <c r="BL16" s="663"/>
      <c r="BM16" s="663"/>
      <c r="BN16" s="663"/>
      <c r="BO16" s="663"/>
      <c r="BP16" s="663"/>
      <c r="BQ16" s="663"/>
      <c r="BR16" s="663"/>
      <c r="BS16" s="663"/>
      <c r="BT16" s="663"/>
      <c r="BU16" s="663"/>
      <c r="BV16" s="663"/>
      <c r="BW16" s="663"/>
      <c r="BX16" s="663"/>
      <c r="BY16" s="663"/>
      <c r="BZ16" s="663"/>
      <c r="CA16" s="663"/>
      <c r="CB16" s="663"/>
      <c r="CC16" s="663"/>
      <c r="CD16" s="663"/>
      <c r="CE16" s="663"/>
      <c r="CF16" s="663"/>
      <c r="CG16" s="663"/>
      <c r="CH16" s="663"/>
      <c r="CI16" s="663"/>
      <c r="CJ16" s="663"/>
      <c r="CK16" s="663"/>
      <c r="CL16" s="663"/>
    </row>
    <row r="17" spans="1:90" s="603" customFormat="1" ht="28.5">
      <c r="A17" s="785" t="s">
        <v>2191</v>
      </c>
      <c r="B17" s="786" t="s">
        <v>2244</v>
      </c>
      <c r="C17" s="1356"/>
      <c r="D17" s="746" t="s">
        <v>233</v>
      </c>
      <c r="E17" s="695"/>
      <c r="F17" s="695"/>
      <c r="G17" s="695"/>
      <c r="H17" s="695"/>
      <c r="I17" s="695"/>
      <c r="J17" s="695"/>
      <c r="K17" s="695"/>
      <c r="L17" s="695"/>
      <c r="M17" s="695"/>
      <c r="N17" s="695"/>
      <c r="O17" s="695"/>
      <c r="P17" s="695">
        <v>1</v>
      </c>
      <c r="Q17" s="695"/>
      <c r="R17" s="695"/>
      <c r="S17" s="695"/>
      <c r="T17" s="695"/>
      <c r="U17" s="695"/>
      <c r="V17" s="622">
        <f t="shared" si="1"/>
        <v>1</v>
      </c>
      <c r="W17" s="787"/>
      <c r="X17" s="766">
        <f t="shared" si="0"/>
        <v>0</v>
      </c>
      <c r="Y17" s="769"/>
      <c r="Z17" s="663"/>
      <c r="AA17" s="663"/>
      <c r="AB17" s="663"/>
      <c r="AC17" s="663"/>
      <c r="AD17" s="663"/>
      <c r="AE17" s="663"/>
      <c r="AF17" s="663"/>
      <c r="AG17" s="663"/>
      <c r="AH17" s="663"/>
      <c r="AI17" s="663"/>
      <c r="AJ17" s="663"/>
      <c r="AK17" s="663"/>
      <c r="AL17" s="663"/>
      <c r="AM17" s="663"/>
      <c r="AN17" s="663"/>
      <c r="AO17" s="663"/>
      <c r="AP17" s="663"/>
      <c r="AQ17" s="663"/>
      <c r="AR17" s="663"/>
      <c r="AS17" s="663"/>
      <c r="AT17" s="663"/>
      <c r="AU17" s="663"/>
      <c r="AV17" s="663"/>
      <c r="AW17" s="663"/>
      <c r="AX17" s="663"/>
      <c r="AY17" s="663"/>
      <c r="AZ17" s="663"/>
      <c r="BA17" s="663"/>
      <c r="BB17" s="663"/>
      <c r="BC17" s="663"/>
      <c r="BD17" s="663"/>
      <c r="BE17" s="663"/>
      <c r="BF17" s="663"/>
      <c r="BG17" s="663"/>
      <c r="BH17" s="663"/>
      <c r="BI17" s="663"/>
      <c r="BJ17" s="663"/>
      <c r="BK17" s="663"/>
      <c r="BL17" s="663"/>
      <c r="BM17" s="663"/>
      <c r="BN17" s="663"/>
      <c r="BO17" s="663"/>
      <c r="BP17" s="663"/>
      <c r="BQ17" s="663"/>
      <c r="BR17" s="663"/>
      <c r="BS17" s="663"/>
      <c r="BT17" s="663"/>
      <c r="BU17" s="663"/>
      <c r="BV17" s="663"/>
      <c r="BW17" s="663"/>
      <c r="BX17" s="663"/>
      <c r="BY17" s="663"/>
      <c r="BZ17" s="663"/>
      <c r="CA17" s="663"/>
      <c r="CB17" s="663"/>
      <c r="CC17" s="663"/>
      <c r="CD17" s="663"/>
      <c r="CE17" s="663"/>
      <c r="CF17" s="663"/>
      <c r="CG17" s="663"/>
      <c r="CH17" s="663"/>
      <c r="CI17" s="663"/>
      <c r="CJ17" s="663"/>
      <c r="CK17" s="663"/>
      <c r="CL17" s="663"/>
    </row>
    <row r="18" spans="1:90" s="603" customFormat="1" ht="28.5">
      <c r="A18" s="785" t="s">
        <v>2192</v>
      </c>
      <c r="B18" s="786" t="s">
        <v>2245</v>
      </c>
      <c r="C18" s="1356"/>
      <c r="D18" s="746" t="s">
        <v>233</v>
      </c>
      <c r="E18" s="695"/>
      <c r="F18" s="695"/>
      <c r="G18" s="695"/>
      <c r="H18" s="695"/>
      <c r="I18" s="695"/>
      <c r="J18" s="695"/>
      <c r="K18" s="695"/>
      <c r="L18" s="695"/>
      <c r="M18" s="695"/>
      <c r="N18" s="695"/>
      <c r="O18" s="695"/>
      <c r="P18" s="695"/>
      <c r="Q18" s="695">
        <v>1</v>
      </c>
      <c r="R18" s="695"/>
      <c r="S18" s="695"/>
      <c r="T18" s="695"/>
      <c r="U18" s="695"/>
      <c r="V18" s="622">
        <f t="shared" si="1"/>
        <v>1</v>
      </c>
      <c r="W18" s="787"/>
      <c r="X18" s="766">
        <f t="shared" si="0"/>
        <v>0</v>
      </c>
      <c r="Y18" s="769"/>
      <c r="Z18" s="663"/>
      <c r="AA18" s="663"/>
      <c r="AB18" s="663"/>
      <c r="AC18" s="663"/>
      <c r="AD18" s="663"/>
      <c r="AE18" s="663"/>
      <c r="AF18" s="663"/>
      <c r="AG18" s="663"/>
      <c r="AH18" s="663"/>
      <c r="AI18" s="663"/>
      <c r="AJ18" s="663"/>
      <c r="AK18" s="663"/>
      <c r="AL18" s="663"/>
      <c r="AM18" s="663"/>
      <c r="AN18" s="663"/>
      <c r="AO18" s="663"/>
      <c r="AP18" s="663"/>
      <c r="AQ18" s="663"/>
      <c r="AR18" s="663"/>
      <c r="AS18" s="663"/>
      <c r="AT18" s="663"/>
      <c r="AU18" s="663"/>
      <c r="AV18" s="663"/>
      <c r="AW18" s="663"/>
      <c r="AX18" s="663"/>
      <c r="AY18" s="663"/>
      <c r="AZ18" s="663"/>
      <c r="BA18" s="663"/>
      <c r="BB18" s="663"/>
      <c r="BC18" s="663"/>
      <c r="BD18" s="663"/>
      <c r="BE18" s="663"/>
      <c r="BF18" s="663"/>
      <c r="BG18" s="663"/>
      <c r="BH18" s="663"/>
      <c r="BI18" s="663"/>
      <c r="BJ18" s="663"/>
      <c r="BK18" s="663"/>
      <c r="BL18" s="663"/>
      <c r="BM18" s="663"/>
      <c r="BN18" s="663"/>
      <c r="BO18" s="663"/>
      <c r="BP18" s="663"/>
      <c r="BQ18" s="663"/>
      <c r="BR18" s="663"/>
      <c r="BS18" s="663"/>
      <c r="BT18" s="663"/>
      <c r="BU18" s="663"/>
      <c r="BV18" s="663"/>
      <c r="BW18" s="663"/>
      <c r="BX18" s="663"/>
      <c r="BY18" s="663"/>
      <c r="BZ18" s="663"/>
      <c r="CA18" s="663"/>
      <c r="CB18" s="663"/>
      <c r="CC18" s="663"/>
      <c r="CD18" s="663"/>
      <c r="CE18" s="663"/>
      <c r="CF18" s="663"/>
      <c r="CG18" s="663"/>
      <c r="CH18" s="663"/>
      <c r="CI18" s="663"/>
      <c r="CJ18" s="663"/>
      <c r="CK18" s="663"/>
      <c r="CL18" s="663"/>
    </row>
    <row r="19" spans="1:90" s="603" customFormat="1" ht="28.5">
      <c r="A19" s="785" t="s">
        <v>2193</v>
      </c>
      <c r="B19" s="786" t="s">
        <v>2246</v>
      </c>
      <c r="C19" s="1356"/>
      <c r="D19" s="746" t="s">
        <v>233</v>
      </c>
      <c r="E19" s="695"/>
      <c r="F19" s="695"/>
      <c r="G19" s="695"/>
      <c r="H19" s="695"/>
      <c r="I19" s="695"/>
      <c r="J19" s="695"/>
      <c r="K19" s="695"/>
      <c r="L19" s="695"/>
      <c r="M19" s="695"/>
      <c r="N19" s="695"/>
      <c r="O19" s="695"/>
      <c r="P19" s="695"/>
      <c r="Q19" s="695"/>
      <c r="R19" s="695">
        <v>1</v>
      </c>
      <c r="S19" s="695"/>
      <c r="T19" s="695"/>
      <c r="U19" s="695"/>
      <c r="V19" s="622">
        <f t="shared" si="1"/>
        <v>1</v>
      </c>
      <c r="W19" s="787"/>
      <c r="X19" s="766">
        <f t="shared" si="0"/>
        <v>0</v>
      </c>
      <c r="Y19" s="769"/>
      <c r="Z19" s="663"/>
      <c r="AA19" s="663"/>
      <c r="AB19" s="663"/>
      <c r="AC19" s="663"/>
      <c r="AD19" s="663"/>
      <c r="AE19" s="663"/>
      <c r="AF19" s="663"/>
      <c r="AG19" s="663"/>
      <c r="AH19" s="663"/>
      <c r="AI19" s="663"/>
      <c r="AJ19" s="663"/>
      <c r="AK19" s="663"/>
      <c r="AL19" s="663"/>
      <c r="AM19" s="663"/>
      <c r="AN19" s="663"/>
      <c r="AO19" s="663"/>
      <c r="AP19" s="663"/>
      <c r="AQ19" s="663"/>
      <c r="AR19" s="663"/>
      <c r="AS19" s="663"/>
      <c r="AT19" s="663"/>
      <c r="AU19" s="663"/>
      <c r="AV19" s="663"/>
      <c r="AW19" s="663"/>
      <c r="AX19" s="663"/>
      <c r="AY19" s="663"/>
      <c r="AZ19" s="663"/>
      <c r="BA19" s="663"/>
      <c r="BB19" s="663"/>
      <c r="BC19" s="663"/>
      <c r="BD19" s="663"/>
      <c r="BE19" s="663"/>
      <c r="BF19" s="663"/>
      <c r="BG19" s="663"/>
      <c r="BH19" s="663"/>
      <c r="BI19" s="663"/>
      <c r="BJ19" s="663"/>
      <c r="BK19" s="663"/>
      <c r="BL19" s="663"/>
      <c r="BM19" s="663"/>
      <c r="BN19" s="663"/>
      <c r="BO19" s="663"/>
      <c r="BP19" s="663"/>
      <c r="BQ19" s="663"/>
      <c r="BR19" s="663"/>
      <c r="BS19" s="663"/>
      <c r="BT19" s="663"/>
      <c r="BU19" s="663"/>
      <c r="BV19" s="663"/>
      <c r="BW19" s="663"/>
      <c r="BX19" s="663"/>
      <c r="BY19" s="663"/>
      <c r="BZ19" s="663"/>
      <c r="CA19" s="663"/>
      <c r="CB19" s="663"/>
      <c r="CC19" s="663"/>
      <c r="CD19" s="663"/>
      <c r="CE19" s="663"/>
      <c r="CF19" s="663"/>
      <c r="CG19" s="663"/>
      <c r="CH19" s="663"/>
      <c r="CI19" s="663"/>
      <c r="CJ19" s="663"/>
      <c r="CK19" s="663"/>
      <c r="CL19" s="663"/>
    </row>
    <row r="20" spans="1:90" s="603" customFormat="1" ht="28.5">
      <c r="A20" s="785" t="s">
        <v>2194</v>
      </c>
      <c r="B20" s="786" t="s">
        <v>2247</v>
      </c>
      <c r="C20" s="1356"/>
      <c r="D20" s="746" t="s">
        <v>233</v>
      </c>
      <c r="E20" s="695"/>
      <c r="F20" s="695"/>
      <c r="G20" s="695"/>
      <c r="H20" s="695"/>
      <c r="I20" s="695"/>
      <c r="J20" s="695"/>
      <c r="K20" s="695"/>
      <c r="L20" s="695"/>
      <c r="M20" s="695"/>
      <c r="N20" s="695"/>
      <c r="O20" s="695"/>
      <c r="P20" s="695"/>
      <c r="Q20" s="695"/>
      <c r="R20" s="695"/>
      <c r="S20" s="695">
        <v>1</v>
      </c>
      <c r="T20" s="695"/>
      <c r="U20" s="695"/>
      <c r="V20" s="622">
        <f t="shared" si="1"/>
        <v>1</v>
      </c>
      <c r="W20" s="787"/>
      <c r="X20" s="766">
        <f t="shared" si="0"/>
        <v>0</v>
      </c>
      <c r="Y20" s="769"/>
      <c r="Z20" s="663"/>
      <c r="AA20" s="663"/>
      <c r="AB20" s="663"/>
      <c r="AC20" s="663"/>
      <c r="AD20" s="663"/>
      <c r="AE20" s="663"/>
      <c r="AF20" s="663"/>
      <c r="AG20" s="663"/>
      <c r="AH20" s="663"/>
      <c r="AI20" s="663"/>
      <c r="AJ20" s="663"/>
      <c r="AK20" s="663"/>
      <c r="AL20" s="663"/>
      <c r="AM20" s="663"/>
      <c r="AN20" s="663"/>
      <c r="AO20" s="663"/>
      <c r="AP20" s="663"/>
      <c r="AQ20" s="663"/>
      <c r="AR20" s="663"/>
      <c r="AS20" s="663"/>
      <c r="AT20" s="663"/>
      <c r="AU20" s="663"/>
      <c r="AV20" s="663"/>
      <c r="AW20" s="663"/>
      <c r="AX20" s="663"/>
      <c r="AY20" s="663"/>
      <c r="AZ20" s="663"/>
      <c r="BA20" s="663"/>
      <c r="BB20" s="663"/>
      <c r="BC20" s="663"/>
      <c r="BD20" s="663"/>
      <c r="BE20" s="663"/>
      <c r="BF20" s="663"/>
      <c r="BG20" s="663"/>
      <c r="BH20" s="663"/>
      <c r="BI20" s="663"/>
      <c r="BJ20" s="663"/>
      <c r="BK20" s="663"/>
      <c r="BL20" s="663"/>
      <c r="BM20" s="663"/>
      <c r="BN20" s="663"/>
      <c r="BO20" s="663"/>
      <c r="BP20" s="663"/>
      <c r="BQ20" s="663"/>
      <c r="BR20" s="663"/>
      <c r="BS20" s="663"/>
      <c r="BT20" s="663"/>
      <c r="BU20" s="663"/>
      <c r="BV20" s="663"/>
      <c r="BW20" s="663"/>
      <c r="BX20" s="663"/>
      <c r="BY20" s="663"/>
      <c r="BZ20" s="663"/>
      <c r="CA20" s="663"/>
      <c r="CB20" s="663"/>
      <c r="CC20" s="663"/>
      <c r="CD20" s="663"/>
      <c r="CE20" s="663"/>
      <c r="CF20" s="663"/>
      <c r="CG20" s="663"/>
      <c r="CH20" s="663"/>
      <c r="CI20" s="663"/>
      <c r="CJ20" s="663"/>
      <c r="CK20" s="663"/>
      <c r="CL20" s="663"/>
    </row>
    <row r="21" spans="1:90" s="603" customFormat="1" ht="28.5">
      <c r="A21" s="785" t="s">
        <v>2195</v>
      </c>
      <c r="B21" s="786" t="s">
        <v>2248</v>
      </c>
      <c r="C21" s="1356"/>
      <c r="D21" s="746" t="s">
        <v>233</v>
      </c>
      <c r="E21" s="695"/>
      <c r="F21" s="695"/>
      <c r="G21" s="695"/>
      <c r="H21" s="695"/>
      <c r="I21" s="695"/>
      <c r="J21" s="695"/>
      <c r="K21" s="695"/>
      <c r="L21" s="695"/>
      <c r="M21" s="695"/>
      <c r="N21" s="695"/>
      <c r="O21" s="695"/>
      <c r="P21" s="695"/>
      <c r="Q21" s="695"/>
      <c r="R21" s="695"/>
      <c r="S21" s="695"/>
      <c r="T21" s="695">
        <v>1</v>
      </c>
      <c r="U21" s="695"/>
      <c r="V21" s="622">
        <f t="shared" si="1"/>
        <v>1</v>
      </c>
      <c r="W21" s="787"/>
      <c r="X21" s="766">
        <f t="shared" si="0"/>
        <v>0</v>
      </c>
      <c r="Y21" s="769"/>
      <c r="Z21" s="663"/>
      <c r="AA21" s="663"/>
      <c r="AB21" s="663"/>
      <c r="AC21" s="663"/>
      <c r="AD21" s="663"/>
      <c r="AE21" s="663"/>
      <c r="AF21" s="663"/>
      <c r="AG21" s="663"/>
      <c r="AH21" s="663"/>
      <c r="AI21" s="663"/>
      <c r="AJ21" s="663"/>
      <c r="AK21" s="663"/>
      <c r="AL21" s="663"/>
      <c r="AM21" s="663"/>
      <c r="AN21" s="663"/>
      <c r="AO21" s="663"/>
      <c r="AP21" s="663"/>
      <c r="AQ21" s="663"/>
      <c r="AR21" s="663"/>
      <c r="AS21" s="663"/>
      <c r="AT21" s="663"/>
      <c r="AU21" s="663"/>
      <c r="AV21" s="663"/>
      <c r="AW21" s="663"/>
      <c r="AX21" s="663"/>
      <c r="AY21" s="663"/>
      <c r="AZ21" s="663"/>
      <c r="BA21" s="663"/>
      <c r="BB21" s="663"/>
      <c r="BC21" s="663"/>
      <c r="BD21" s="663"/>
      <c r="BE21" s="663"/>
      <c r="BF21" s="663"/>
      <c r="BG21" s="663"/>
      <c r="BH21" s="663"/>
      <c r="BI21" s="663"/>
      <c r="BJ21" s="663"/>
      <c r="BK21" s="663"/>
      <c r="BL21" s="663"/>
      <c r="BM21" s="663"/>
      <c r="BN21" s="663"/>
      <c r="BO21" s="663"/>
      <c r="BP21" s="663"/>
      <c r="BQ21" s="663"/>
      <c r="BR21" s="663"/>
      <c r="BS21" s="663"/>
      <c r="BT21" s="663"/>
      <c r="BU21" s="663"/>
      <c r="BV21" s="663"/>
      <c r="BW21" s="663"/>
      <c r="BX21" s="663"/>
      <c r="BY21" s="663"/>
      <c r="BZ21" s="663"/>
      <c r="CA21" s="663"/>
      <c r="CB21" s="663"/>
      <c r="CC21" s="663"/>
      <c r="CD21" s="663"/>
      <c r="CE21" s="663"/>
      <c r="CF21" s="663"/>
      <c r="CG21" s="663"/>
      <c r="CH21" s="663"/>
      <c r="CI21" s="663"/>
      <c r="CJ21" s="663"/>
      <c r="CK21" s="663"/>
      <c r="CL21" s="663"/>
    </row>
    <row r="22" spans="1:90" s="603" customFormat="1">
      <c r="A22" s="783" t="s">
        <v>2196</v>
      </c>
      <c r="B22" s="784" t="s">
        <v>1154</v>
      </c>
      <c r="C22" s="1356" t="s">
        <v>2843</v>
      </c>
      <c r="D22" s="690"/>
      <c r="E22" s="695"/>
      <c r="F22" s="695"/>
      <c r="G22" s="695"/>
      <c r="H22" s="695"/>
      <c r="I22" s="695"/>
      <c r="J22" s="695"/>
      <c r="K22" s="695"/>
      <c r="L22" s="695"/>
      <c r="M22" s="695"/>
      <c r="N22" s="695"/>
      <c r="O22" s="695"/>
      <c r="P22" s="695"/>
      <c r="Q22" s="695"/>
      <c r="R22" s="695"/>
      <c r="S22" s="695"/>
      <c r="T22" s="695"/>
      <c r="U22" s="695"/>
      <c r="V22" s="622"/>
      <c r="W22" s="622"/>
      <c r="X22" s="766"/>
      <c r="Y22" s="769"/>
      <c r="Z22" s="663"/>
      <c r="AA22" s="663"/>
      <c r="AB22" s="663"/>
      <c r="AC22" s="663"/>
      <c r="AD22" s="663"/>
      <c r="AE22" s="663"/>
      <c r="AF22" s="663"/>
      <c r="AG22" s="663"/>
      <c r="AH22" s="663"/>
      <c r="AI22" s="663"/>
      <c r="AJ22" s="663"/>
      <c r="AK22" s="663"/>
      <c r="AL22" s="663"/>
      <c r="AM22" s="663"/>
      <c r="AN22" s="663"/>
      <c r="AO22" s="663"/>
      <c r="AP22" s="663"/>
      <c r="AQ22" s="663"/>
      <c r="AR22" s="663"/>
      <c r="AS22" s="663"/>
      <c r="AT22" s="663"/>
      <c r="AU22" s="663"/>
      <c r="AV22" s="663"/>
      <c r="AW22" s="663"/>
      <c r="AX22" s="663"/>
      <c r="AY22" s="663"/>
      <c r="AZ22" s="663"/>
      <c r="BA22" s="663"/>
      <c r="BB22" s="663"/>
      <c r="BC22" s="663"/>
      <c r="BD22" s="663"/>
      <c r="BE22" s="663"/>
      <c r="BF22" s="663"/>
      <c r="BG22" s="663"/>
      <c r="BH22" s="663"/>
      <c r="BI22" s="663"/>
      <c r="BJ22" s="663"/>
      <c r="BK22" s="663"/>
      <c r="BL22" s="663"/>
      <c r="BM22" s="663"/>
      <c r="BN22" s="663"/>
      <c r="BO22" s="663"/>
      <c r="BP22" s="663"/>
      <c r="BQ22" s="663"/>
      <c r="BR22" s="663"/>
      <c r="BS22" s="663"/>
      <c r="BT22" s="663"/>
      <c r="BU22" s="663"/>
      <c r="BV22" s="663"/>
      <c r="BW22" s="663"/>
      <c r="BX22" s="663"/>
      <c r="BY22" s="663"/>
      <c r="BZ22" s="663"/>
      <c r="CA22" s="663"/>
      <c r="CB22" s="663"/>
      <c r="CC22" s="663"/>
      <c r="CD22" s="663"/>
      <c r="CE22" s="663"/>
      <c r="CF22" s="663"/>
      <c r="CG22" s="663"/>
      <c r="CH22" s="663"/>
      <c r="CI22" s="663"/>
      <c r="CJ22" s="663"/>
      <c r="CK22" s="663"/>
      <c r="CL22" s="663"/>
    </row>
    <row r="23" spans="1:90" s="603" customFormat="1">
      <c r="A23" s="785" t="s">
        <v>2197</v>
      </c>
      <c r="B23" s="786" t="s">
        <v>1155</v>
      </c>
      <c r="C23" s="746"/>
      <c r="D23" s="746" t="s">
        <v>233</v>
      </c>
      <c r="E23" s="695">
        <v>1</v>
      </c>
      <c r="F23" s="695"/>
      <c r="G23" s="695"/>
      <c r="H23" s="695"/>
      <c r="I23" s="695"/>
      <c r="J23" s="695"/>
      <c r="K23" s="695"/>
      <c r="L23" s="695"/>
      <c r="M23" s="695"/>
      <c r="N23" s="695"/>
      <c r="O23" s="695"/>
      <c r="P23" s="695"/>
      <c r="Q23" s="695"/>
      <c r="R23" s="695"/>
      <c r="S23" s="695"/>
      <c r="T23" s="695"/>
      <c r="U23" s="695"/>
      <c r="V23" s="622">
        <f t="shared" si="1"/>
        <v>1</v>
      </c>
      <c r="W23" s="787"/>
      <c r="X23" s="766">
        <f t="shared" si="0"/>
        <v>0</v>
      </c>
      <c r="Y23" s="769"/>
      <c r="Z23" s="663"/>
      <c r="AA23" s="663"/>
      <c r="AB23" s="663"/>
      <c r="AC23" s="663"/>
      <c r="AD23" s="663"/>
      <c r="AE23" s="663"/>
      <c r="AF23" s="663"/>
      <c r="AG23" s="663"/>
      <c r="AH23" s="663"/>
      <c r="AI23" s="663"/>
      <c r="AJ23" s="663"/>
      <c r="AK23" s="663"/>
      <c r="AL23" s="663"/>
      <c r="AM23" s="663"/>
      <c r="AN23" s="663"/>
      <c r="AO23" s="663"/>
      <c r="AP23" s="663"/>
      <c r="AQ23" s="663"/>
      <c r="AR23" s="663"/>
      <c r="AS23" s="663"/>
      <c r="AT23" s="663"/>
      <c r="AU23" s="663"/>
      <c r="AV23" s="663"/>
      <c r="AW23" s="663"/>
      <c r="AX23" s="663"/>
      <c r="AY23" s="663"/>
      <c r="AZ23" s="663"/>
      <c r="BA23" s="663"/>
      <c r="BB23" s="663"/>
      <c r="BC23" s="663"/>
      <c r="BD23" s="663"/>
      <c r="BE23" s="663"/>
      <c r="BF23" s="663"/>
      <c r="BG23" s="663"/>
      <c r="BH23" s="663"/>
      <c r="BI23" s="663"/>
      <c r="BJ23" s="663"/>
      <c r="BK23" s="663"/>
      <c r="BL23" s="663"/>
      <c r="BM23" s="663"/>
      <c r="BN23" s="663"/>
      <c r="BO23" s="663"/>
      <c r="BP23" s="663"/>
      <c r="BQ23" s="663"/>
      <c r="BR23" s="663"/>
      <c r="BS23" s="663"/>
      <c r="BT23" s="663"/>
      <c r="BU23" s="663"/>
      <c r="BV23" s="663"/>
      <c r="BW23" s="663"/>
      <c r="BX23" s="663"/>
      <c r="BY23" s="663"/>
      <c r="BZ23" s="663"/>
      <c r="CA23" s="663"/>
      <c r="CB23" s="663"/>
      <c r="CC23" s="663"/>
      <c r="CD23" s="663"/>
      <c r="CE23" s="663"/>
      <c r="CF23" s="663"/>
      <c r="CG23" s="663"/>
      <c r="CH23" s="663"/>
      <c r="CI23" s="663"/>
      <c r="CJ23" s="663"/>
      <c r="CK23" s="663"/>
      <c r="CL23" s="663"/>
    </row>
    <row r="24" spans="1:90" s="603" customFormat="1">
      <c r="A24" s="785" t="s">
        <v>2198</v>
      </c>
      <c r="B24" s="786" t="s">
        <v>1156</v>
      </c>
      <c r="C24" s="746"/>
      <c r="D24" s="746" t="s">
        <v>233</v>
      </c>
      <c r="E24" s="695"/>
      <c r="F24" s="695">
        <v>1</v>
      </c>
      <c r="G24" s="695"/>
      <c r="H24" s="695"/>
      <c r="I24" s="695"/>
      <c r="J24" s="695"/>
      <c r="K24" s="695"/>
      <c r="L24" s="695"/>
      <c r="M24" s="695"/>
      <c r="N24" s="695"/>
      <c r="O24" s="695"/>
      <c r="P24" s="695"/>
      <c r="Q24" s="695"/>
      <c r="R24" s="695"/>
      <c r="S24" s="695"/>
      <c r="T24" s="695"/>
      <c r="U24" s="695"/>
      <c r="V24" s="622">
        <f t="shared" si="1"/>
        <v>1</v>
      </c>
      <c r="W24" s="787"/>
      <c r="X24" s="766">
        <f t="shared" si="0"/>
        <v>0</v>
      </c>
      <c r="Y24" s="769"/>
      <c r="Z24" s="663"/>
      <c r="AA24" s="663"/>
      <c r="AB24" s="663"/>
      <c r="AC24" s="663"/>
      <c r="AD24" s="663"/>
      <c r="AE24" s="663"/>
      <c r="AF24" s="663"/>
      <c r="AG24" s="663"/>
      <c r="AH24" s="663"/>
      <c r="AI24" s="663"/>
      <c r="AJ24" s="663"/>
      <c r="AK24" s="663"/>
      <c r="AL24" s="663"/>
      <c r="AM24" s="663"/>
      <c r="AN24" s="663"/>
      <c r="AO24" s="663"/>
      <c r="AP24" s="663"/>
      <c r="AQ24" s="663"/>
      <c r="AR24" s="663"/>
      <c r="AS24" s="663"/>
      <c r="AT24" s="663"/>
      <c r="AU24" s="663"/>
      <c r="AV24" s="663"/>
      <c r="AW24" s="663"/>
      <c r="AX24" s="663"/>
      <c r="AY24" s="663"/>
      <c r="AZ24" s="663"/>
      <c r="BA24" s="663"/>
      <c r="BB24" s="663"/>
      <c r="BC24" s="663"/>
      <c r="BD24" s="663"/>
      <c r="BE24" s="663"/>
      <c r="BF24" s="663"/>
      <c r="BG24" s="663"/>
      <c r="BH24" s="663"/>
      <c r="BI24" s="663"/>
      <c r="BJ24" s="663"/>
      <c r="BK24" s="663"/>
      <c r="BL24" s="663"/>
      <c r="BM24" s="663"/>
      <c r="BN24" s="663"/>
      <c r="BO24" s="663"/>
      <c r="BP24" s="663"/>
      <c r="BQ24" s="663"/>
      <c r="BR24" s="663"/>
      <c r="BS24" s="663"/>
      <c r="BT24" s="663"/>
      <c r="BU24" s="663"/>
      <c r="BV24" s="663"/>
      <c r="BW24" s="663"/>
      <c r="BX24" s="663"/>
      <c r="BY24" s="663"/>
      <c r="BZ24" s="663"/>
      <c r="CA24" s="663"/>
      <c r="CB24" s="663"/>
      <c r="CC24" s="663"/>
      <c r="CD24" s="663"/>
      <c r="CE24" s="663"/>
      <c r="CF24" s="663"/>
      <c r="CG24" s="663"/>
      <c r="CH24" s="663"/>
      <c r="CI24" s="663"/>
      <c r="CJ24" s="663"/>
      <c r="CK24" s="663"/>
      <c r="CL24" s="663"/>
    </row>
    <row r="25" spans="1:90" s="603" customFormat="1">
      <c r="A25" s="785" t="s">
        <v>2199</v>
      </c>
      <c r="B25" s="786" t="s">
        <v>1157</v>
      </c>
      <c r="C25" s="746"/>
      <c r="D25" s="746" t="s">
        <v>233</v>
      </c>
      <c r="E25" s="695"/>
      <c r="F25" s="695"/>
      <c r="G25" s="695">
        <v>1</v>
      </c>
      <c r="H25" s="695"/>
      <c r="I25" s="695"/>
      <c r="J25" s="695"/>
      <c r="K25" s="695"/>
      <c r="L25" s="695"/>
      <c r="M25" s="695"/>
      <c r="N25" s="695"/>
      <c r="O25" s="695"/>
      <c r="P25" s="695"/>
      <c r="Q25" s="695"/>
      <c r="R25" s="695"/>
      <c r="S25" s="695"/>
      <c r="T25" s="695"/>
      <c r="U25" s="695"/>
      <c r="V25" s="622">
        <f t="shared" si="1"/>
        <v>1</v>
      </c>
      <c r="W25" s="787"/>
      <c r="X25" s="766">
        <f t="shared" si="0"/>
        <v>0</v>
      </c>
      <c r="Y25" s="769"/>
      <c r="Z25" s="663"/>
      <c r="AA25" s="663"/>
      <c r="AB25" s="663"/>
      <c r="AC25" s="663"/>
      <c r="AD25" s="663"/>
      <c r="AE25" s="663"/>
      <c r="AF25" s="663"/>
      <c r="AG25" s="663"/>
      <c r="AH25" s="663"/>
      <c r="AI25" s="663"/>
      <c r="AJ25" s="663"/>
      <c r="AK25" s="663"/>
      <c r="AL25" s="663"/>
      <c r="AM25" s="663"/>
      <c r="AN25" s="663"/>
      <c r="AO25" s="663"/>
      <c r="AP25" s="663"/>
      <c r="AQ25" s="663"/>
      <c r="AR25" s="663"/>
      <c r="AS25" s="663"/>
      <c r="AT25" s="663"/>
      <c r="AU25" s="663"/>
      <c r="AV25" s="663"/>
      <c r="AW25" s="663"/>
      <c r="AX25" s="663"/>
      <c r="AY25" s="663"/>
      <c r="AZ25" s="663"/>
      <c r="BA25" s="663"/>
      <c r="BB25" s="663"/>
      <c r="BC25" s="663"/>
      <c r="BD25" s="663"/>
      <c r="BE25" s="663"/>
      <c r="BF25" s="663"/>
      <c r="BG25" s="663"/>
      <c r="BH25" s="663"/>
      <c r="BI25" s="663"/>
      <c r="BJ25" s="663"/>
      <c r="BK25" s="663"/>
      <c r="BL25" s="663"/>
      <c r="BM25" s="663"/>
      <c r="BN25" s="663"/>
      <c r="BO25" s="663"/>
      <c r="BP25" s="663"/>
      <c r="BQ25" s="663"/>
      <c r="BR25" s="663"/>
      <c r="BS25" s="663"/>
      <c r="BT25" s="663"/>
      <c r="BU25" s="663"/>
      <c r="BV25" s="663"/>
      <c r="BW25" s="663"/>
      <c r="BX25" s="663"/>
      <c r="BY25" s="663"/>
      <c r="BZ25" s="663"/>
      <c r="CA25" s="663"/>
      <c r="CB25" s="663"/>
      <c r="CC25" s="663"/>
      <c r="CD25" s="663"/>
      <c r="CE25" s="663"/>
      <c r="CF25" s="663"/>
      <c r="CG25" s="663"/>
      <c r="CH25" s="663"/>
      <c r="CI25" s="663"/>
      <c r="CJ25" s="663"/>
      <c r="CK25" s="663"/>
      <c r="CL25" s="663"/>
    </row>
    <row r="26" spans="1:90" s="603" customFormat="1">
      <c r="A26" s="785" t="s">
        <v>2200</v>
      </c>
      <c r="B26" s="786" t="s">
        <v>1158</v>
      </c>
      <c r="C26" s="746"/>
      <c r="D26" s="746" t="s">
        <v>233</v>
      </c>
      <c r="E26" s="695"/>
      <c r="F26" s="695"/>
      <c r="G26" s="695"/>
      <c r="H26" s="695">
        <v>1</v>
      </c>
      <c r="I26" s="695"/>
      <c r="J26" s="695"/>
      <c r="K26" s="695"/>
      <c r="L26" s="695"/>
      <c r="M26" s="695"/>
      <c r="N26" s="695"/>
      <c r="O26" s="695"/>
      <c r="P26" s="695"/>
      <c r="Q26" s="695"/>
      <c r="R26" s="695"/>
      <c r="S26" s="695"/>
      <c r="T26" s="695"/>
      <c r="U26" s="695"/>
      <c r="V26" s="622">
        <f t="shared" si="1"/>
        <v>1</v>
      </c>
      <c r="W26" s="787"/>
      <c r="X26" s="766">
        <f t="shared" si="0"/>
        <v>0</v>
      </c>
      <c r="Y26" s="769"/>
      <c r="Z26" s="663"/>
      <c r="AA26" s="663"/>
      <c r="AB26" s="663"/>
      <c r="AC26" s="663"/>
      <c r="AD26" s="663"/>
      <c r="AE26" s="663"/>
      <c r="AF26" s="663"/>
      <c r="AG26" s="663"/>
      <c r="AH26" s="663"/>
      <c r="AI26" s="663"/>
      <c r="AJ26" s="663"/>
      <c r="AK26" s="663"/>
      <c r="AL26" s="663"/>
      <c r="AM26" s="663"/>
      <c r="AN26" s="663"/>
      <c r="AO26" s="663"/>
      <c r="AP26" s="663"/>
      <c r="AQ26" s="663"/>
      <c r="AR26" s="663"/>
      <c r="AS26" s="663"/>
      <c r="AT26" s="663"/>
      <c r="AU26" s="663"/>
      <c r="AV26" s="663"/>
      <c r="AW26" s="663"/>
      <c r="AX26" s="663"/>
      <c r="AY26" s="663"/>
      <c r="AZ26" s="663"/>
      <c r="BA26" s="663"/>
      <c r="BB26" s="663"/>
      <c r="BC26" s="663"/>
      <c r="BD26" s="663"/>
      <c r="BE26" s="663"/>
      <c r="BF26" s="663"/>
      <c r="BG26" s="663"/>
      <c r="BH26" s="663"/>
      <c r="BI26" s="663"/>
      <c r="BJ26" s="663"/>
      <c r="BK26" s="663"/>
      <c r="BL26" s="663"/>
      <c r="BM26" s="663"/>
      <c r="BN26" s="663"/>
      <c r="BO26" s="663"/>
      <c r="BP26" s="663"/>
      <c r="BQ26" s="663"/>
      <c r="BR26" s="663"/>
      <c r="BS26" s="663"/>
      <c r="BT26" s="663"/>
      <c r="BU26" s="663"/>
      <c r="BV26" s="663"/>
      <c r="BW26" s="663"/>
      <c r="BX26" s="663"/>
      <c r="BY26" s="663"/>
      <c r="BZ26" s="663"/>
      <c r="CA26" s="663"/>
      <c r="CB26" s="663"/>
      <c r="CC26" s="663"/>
      <c r="CD26" s="663"/>
      <c r="CE26" s="663"/>
      <c r="CF26" s="663"/>
      <c r="CG26" s="663"/>
      <c r="CH26" s="663"/>
      <c r="CI26" s="663"/>
      <c r="CJ26" s="663"/>
      <c r="CK26" s="663"/>
      <c r="CL26" s="663"/>
    </row>
    <row r="27" spans="1:90" s="603" customFormat="1">
      <c r="A27" s="785" t="s">
        <v>2201</v>
      </c>
      <c r="B27" s="786" t="s">
        <v>1159</v>
      </c>
      <c r="C27" s="746"/>
      <c r="D27" s="746" t="s">
        <v>233</v>
      </c>
      <c r="E27" s="695"/>
      <c r="F27" s="695"/>
      <c r="G27" s="695"/>
      <c r="H27" s="695"/>
      <c r="I27" s="695">
        <v>1</v>
      </c>
      <c r="J27" s="695"/>
      <c r="K27" s="695"/>
      <c r="L27" s="695"/>
      <c r="M27" s="695"/>
      <c r="N27" s="695"/>
      <c r="O27" s="695"/>
      <c r="P27" s="695"/>
      <c r="Q27" s="695"/>
      <c r="R27" s="695"/>
      <c r="S27" s="695"/>
      <c r="T27" s="695"/>
      <c r="U27" s="695"/>
      <c r="V27" s="622">
        <f t="shared" si="1"/>
        <v>1</v>
      </c>
      <c r="W27" s="787"/>
      <c r="X27" s="766">
        <f t="shared" si="0"/>
        <v>0</v>
      </c>
      <c r="Y27" s="769"/>
      <c r="Z27" s="663"/>
      <c r="AA27" s="663"/>
      <c r="AB27" s="663"/>
      <c r="AC27" s="663"/>
      <c r="AD27" s="663"/>
      <c r="AE27" s="663"/>
      <c r="AF27" s="663"/>
      <c r="AG27" s="663"/>
      <c r="AH27" s="663"/>
      <c r="AI27" s="663"/>
      <c r="AJ27" s="663"/>
      <c r="AK27" s="663"/>
      <c r="AL27" s="663"/>
      <c r="AM27" s="663"/>
      <c r="AN27" s="663"/>
      <c r="AO27" s="663"/>
      <c r="AP27" s="663"/>
      <c r="AQ27" s="663"/>
      <c r="AR27" s="663"/>
      <c r="AS27" s="663"/>
      <c r="AT27" s="663"/>
      <c r="AU27" s="663"/>
      <c r="AV27" s="663"/>
      <c r="AW27" s="663"/>
      <c r="AX27" s="663"/>
      <c r="AY27" s="663"/>
      <c r="AZ27" s="663"/>
      <c r="BA27" s="663"/>
      <c r="BB27" s="663"/>
      <c r="BC27" s="663"/>
      <c r="BD27" s="663"/>
      <c r="BE27" s="663"/>
      <c r="BF27" s="663"/>
      <c r="BG27" s="663"/>
      <c r="BH27" s="663"/>
      <c r="BI27" s="663"/>
      <c r="BJ27" s="663"/>
      <c r="BK27" s="663"/>
      <c r="BL27" s="663"/>
      <c r="BM27" s="663"/>
      <c r="BN27" s="663"/>
      <c r="BO27" s="663"/>
      <c r="BP27" s="663"/>
      <c r="BQ27" s="663"/>
      <c r="BR27" s="663"/>
      <c r="BS27" s="663"/>
      <c r="BT27" s="663"/>
      <c r="BU27" s="663"/>
      <c r="BV27" s="663"/>
      <c r="BW27" s="663"/>
      <c r="BX27" s="663"/>
      <c r="BY27" s="663"/>
      <c r="BZ27" s="663"/>
      <c r="CA27" s="663"/>
      <c r="CB27" s="663"/>
      <c r="CC27" s="663"/>
      <c r="CD27" s="663"/>
      <c r="CE27" s="663"/>
      <c r="CF27" s="663"/>
      <c r="CG27" s="663"/>
      <c r="CH27" s="663"/>
      <c r="CI27" s="663"/>
      <c r="CJ27" s="663"/>
      <c r="CK27" s="663"/>
      <c r="CL27" s="663"/>
    </row>
    <row r="28" spans="1:90" s="603" customFormat="1">
      <c r="A28" s="785" t="s">
        <v>2202</v>
      </c>
      <c r="B28" s="786" t="s">
        <v>1160</v>
      </c>
      <c r="C28" s="746"/>
      <c r="D28" s="746" t="s">
        <v>233</v>
      </c>
      <c r="E28" s="695"/>
      <c r="F28" s="695"/>
      <c r="G28" s="695"/>
      <c r="H28" s="695"/>
      <c r="I28" s="695"/>
      <c r="J28" s="695">
        <v>1</v>
      </c>
      <c r="K28" s="695"/>
      <c r="L28" s="695"/>
      <c r="M28" s="695"/>
      <c r="N28" s="695"/>
      <c r="O28" s="695"/>
      <c r="P28" s="695"/>
      <c r="Q28" s="695"/>
      <c r="R28" s="695"/>
      <c r="S28" s="695"/>
      <c r="T28" s="695"/>
      <c r="U28" s="695"/>
      <c r="V28" s="622">
        <f t="shared" si="1"/>
        <v>1</v>
      </c>
      <c r="W28" s="787"/>
      <c r="X28" s="766">
        <f t="shared" si="0"/>
        <v>0</v>
      </c>
      <c r="Y28" s="769"/>
      <c r="Z28" s="663"/>
      <c r="AA28" s="663"/>
      <c r="AB28" s="663"/>
      <c r="AC28" s="663"/>
      <c r="AD28" s="663"/>
      <c r="AE28" s="663"/>
      <c r="AF28" s="663"/>
      <c r="AG28" s="663"/>
      <c r="AH28" s="663"/>
      <c r="AI28" s="663"/>
      <c r="AJ28" s="663"/>
      <c r="AK28" s="663"/>
      <c r="AL28" s="663"/>
      <c r="AM28" s="663"/>
      <c r="AN28" s="663"/>
      <c r="AO28" s="663"/>
      <c r="AP28" s="663"/>
      <c r="AQ28" s="663"/>
      <c r="AR28" s="663"/>
      <c r="AS28" s="663"/>
      <c r="AT28" s="663"/>
      <c r="AU28" s="663"/>
      <c r="AV28" s="663"/>
      <c r="AW28" s="663"/>
      <c r="AX28" s="663"/>
      <c r="AY28" s="663"/>
      <c r="AZ28" s="663"/>
      <c r="BA28" s="663"/>
      <c r="BB28" s="663"/>
      <c r="BC28" s="663"/>
      <c r="BD28" s="663"/>
      <c r="BE28" s="663"/>
      <c r="BF28" s="663"/>
      <c r="BG28" s="663"/>
      <c r="BH28" s="663"/>
      <c r="BI28" s="663"/>
      <c r="BJ28" s="663"/>
      <c r="BK28" s="663"/>
      <c r="BL28" s="663"/>
      <c r="BM28" s="663"/>
      <c r="BN28" s="663"/>
      <c r="BO28" s="663"/>
      <c r="BP28" s="663"/>
      <c r="BQ28" s="663"/>
      <c r="BR28" s="663"/>
      <c r="BS28" s="663"/>
      <c r="BT28" s="663"/>
      <c r="BU28" s="663"/>
      <c r="BV28" s="663"/>
      <c r="BW28" s="663"/>
      <c r="BX28" s="663"/>
      <c r="BY28" s="663"/>
      <c r="BZ28" s="663"/>
      <c r="CA28" s="663"/>
      <c r="CB28" s="663"/>
      <c r="CC28" s="663"/>
      <c r="CD28" s="663"/>
      <c r="CE28" s="663"/>
      <c r="CF28" s="663"/>
      <c r="CG28" s="663"/>
      <c r="CH28" s="663"/>
      <c r="CI28" s="663"/>
      <c r="CJ28" s="663"/>
      <c r="CK28" s="663"/>
      <c r="CL28" s="663"/>
    </row>
    <row r="29" spans="1:90" s="603" customFormat="1">
      <c r="A29" s="785" t="s">
        <v>2203</v>
      </c>
      <c r="B29" s="786" t="s">
        <v>1161</v>
      </c>
      <c r="C29" s="746"/>
      <c r="D29" s="746" t="s">
        <v>233</v>
      </c>
      <c r="E29" s="695"/>
      <c r="F29" s="695"/>
      <c r="G29" s="695"/>
      <c r="H29" s="695"/>
      <c r="I29" s="695"/>
      <c r="J29" s="695"/>
      <c r="K29" s="695">
        <v>1</v>
      </c>
      <c r="L29" s="695"/>
      <c r="M29" s="695"/>
      <c r="N29" s="695"/>
      <c r="O29" s="695"/>
      <c r="P29" s="695"/>
      <c r="Q29" s="695"/>
      <c r="R29" s="695"/>
      <c r="S29" s="695"/>
      <c r="T29" s="695"/>
      <c r="U29" s="695"/>
      <c r="V29" s="622">
        <f t="shared" si="1"/>
        <v>1</v>
      </c>
      <c r="W29" s="787"/>
      <c r="X29" s="766">
        <f t="shared" si="0"/>
        <v>0</v>
      </c>
      <c r="Y29" s="769"/>
      <c r="Z29" s="663"/>
      <c r="AA29" s="663"/>
      <c r="AB29" s="663"/>
      <c r="AC29" s="663"/>
      <c r="AD29" s="663"/>
      <c r="AE29" s="663"/>
      <c r="AF29" s="663"/>
      <c r="AG29" s="663"/>
      <c r="AH29" s="663"/>
      <c r="AI29" s="663"/>
      <c r="AJ29" s="663"/>
      <c r="AK29" s="663"/>
      <c r="AL29" s="663"/>
      <c r="AM29" s="663"/>
      <c r="AN29" s="663"/>
      <c r="AO29" s="663"/>
      <c r="AP29" s="663"/>
      <c r="AQ29" s="663"/>
      <c r="AR29" s="663"/>
      <c r="AS29" s="663"/>
      <c r="AT29" s="663"/>
      <c r="AU29" s="663"/>
      <c r="AV29" s="663"/>
      <c r="AW29" s="663"/>
      <c r="AX29" s="663"/>
      <c r="AY29" s="663"/>
      <c r="AZ29" s="663"/>
      <c r="BA29" s="663"/>
      <c r="BB29" s="663"/>
      <c r="BC29" s="663"/>
      <c r="BD29" s="663"/>
      <c r="BE29" s="663"/>
      <c r="BF29" s="663"/>
      <c r="BG29" s="663"/>
      <c r="BH29" s="663"/>
      <c r="BI29" s="663"/>
      <c r="BJ29" s="663"/>
      <c r="BK29" s="663"/>
      <c r="BL29" s="663"/>
      <c r="BM29" s="663"/>
      <c r="BN29" s="663"/>
      <c r="BO29" s="663"/>
      <c r="BP29" s="663"/>
      <c r="BQ29" s="663"/>
      <c r="BR29" s="663"/>
      <c r="BS29" s="663"/>
      <c r="BT29" s="663"/>
      <c r="BU29" s="663"/>
      <c r="BV29" s="663"/>
      <c r="BW29" s="663"/>
      <c r="BX29" s="663"/>
      <c r="BY29" s="663"/>
      <c r="BZ29" s="663"/>
      <c r="CA29" s="663"/>
      <c r="CB29" s="663"/>
      <c r="CC29" s="663"/>
      <c r="CD29" s="663"/>
      <c r="CE29" s="663"/>
      <c r="CF29" s="663"/>
      <c r="CG29" s="663"/>
      <c r="CH29" s="663"/>
      <c r="CI29" s="663"/>
      <c r="CJ29" s="663"/>
      <c r="CK29" s="663"/>
      <c r="CL29" s="663"/>
    </row>
    <row r="30" spans="1:90" s="603" customFormat="1">
      <c r="A30" s="785" t="s">
        <v>2204</v>
      </c>
      <c r="B30" s="786" t="s">
        <v>1162</v>
      </c>
      <c r="C30" s="746"/>
      <c r="D30" s="746" t="s">
        <v>233</v>
      </c>
      <c r="E30" s="695"/>
      <c r="F30" s="695"/>
      <c r="G30" s="695"/>
      <c r="H30" s="695"/>
      <c r="I30" s="695"/>
      <c r="J30" s="695"/>
      <c r="K30" s="695"/>
      <c r="L30" s="695">
        <v>1</v>
      </c>
      <c r="M30" s="695"/>
      <c r="N30" s="695"/>
      <c r="O30" s="695"/>
      <c r="P30" s="695"/>
      <c r="Q30" s="695"/>
      <c r="R30" s="695"/>
      <c r="S30" s="695"/>
      <c r="T30" s="695"/>
      <c r="U30" s="695"/>
      <c r="V30" s="622">
        <f t="shared" si="1"/>
        <v>1</v>
      </c>
      <c r="W30" s="787"/>
      <c r="X30" s="766">
        <f t="shared" si="0"/>
        <v>0</v>
      </c>
      <c r="Y30" s="769"/>
      <c r="Z30" s="663"/>
      <c r="AA30" s="663"/>
      <c r="AB30" s="663"/>
      <c r="AC30" s="663"/>
      <c r="AD30" s="663"/>
      <c r="AE30" s="663"/>
      <c r="AF30" s="663"/>
      <c r="AG30" s="663"/>
      <c r="AH30" s="663"/>
      <c r="AI30" s="663"/>
      <c r="AJ30" s="663"/>
      <c r="AK30" s="663"/>
      <c r="AL30" s="663"/>
      <c r="AM30" s="663"/>
      <c r="AN30" s="663"/>
      <c r="AO30" s="663"/>
      <c r="AP30" s="663"/>
      <c r="AQ30" s="663"/>
      <c r="AR30" s="663"/>
      <c r="AS30" s="663"/>
      <c r="AT30" s="663"/>
      <c r="AU30" s="663"/>
      <c r="AV30" s="663"/>
      <c r="AW30" s="663"/>
      <c r="AX30" s="663"/>
      <c r="AY30" s="663"/>
      <c r="AZ30" s="663"/>
      <c r="BA30" s="663"/>
      <c r="BB30" s="663"/>
      <c r="BC30" s="663"/>
      <c r="BD30" s="663"/>
      <c r="BE30" s="663"/>
      <c r="BF30" s="663"/>
      <c r="BG30" s="663"/>
      <c r="BH30" s="663"/>
      <c r="BI30" s="663"/>
      <c r="BJ30" s="663"/>
      <c r="BK30" s="663"/>
      <c r="BL30" s="663"/>
      <c r="BM30" s="663"/>
      <c r="BN30" s="663"/>
      <c r="BO30" s="663"/>
      <c r="BP30" s="663"/>
      <c r="BQ30" s="663"/>
      <c r="BR30" s="663"/>
      <c r="BS30" s="663"/>
      <c r="BT30" s="663"/>
      <c r="BU30" s="663"/>
      <c r="BV30" s="663"/>
      <c r="BW30" s="663"/>
      <c r="BX30" s="663"/>
      <c r="BY30" s="663"/>
      <c r="BZ30" s="663"/>
      <c r="CA30" s="663"/>
      <c r="CB30" s="663"/>
      <c r="CC30" s="663"/>
      <c r="CD30" s="663"/>
      <c r="CE30" s="663"/>
      <c r="CF30" s="663"/>
      <c r="CG30" s="663"/>
      <c r="CH30" s="663"/>
      <c r="CI30" s="663"/>
      <c r="CJ30" s="663"/>
      <c r="CK30" s="663"/>
      <c r="CL30" s="663"/>
    </row>
    <row r="31" spans="1:90" s="603" customFormat="1">
      <c r="A31" s="785" t="s">
        <v>2205</v>
      </c>
      <c r="B31" s="786" t="s">
        <v>1163</v>
      </c>
      <c r="C31" s="746"/>
      <c r="D31" s="746" t="s">
        <v>233</v>
      </c>
      <c r="E31" s="695"/>
      <c r="F31" s="695"/>
      <c r="G31" s="695"/>
      <c r="H31" s="695"/>
      <c r="I31" s="695"/>
      <c r="J31" s="695"/>
      <c r="K31" s="695"/>
      <c r="L31" s="695"/>
      <c r="M31" s="695">
        <v>1</v>
      </c>
      <c r="N31" s="695"/>
      <c r="O31" s="695"/>
      <c r="P31" s="695"/>
      <c r="Q31" s="695"/>
      <c r="R31" s="695"/>
      <c r="S31" s="695"/>
      <c r="T31" s="695"/>
      <c r="U31" s="695"/>
      <c r="V31" s="622">
        <f t="shared" si="1"/>
        <v>1</v>
      </c>
      <c r="W31" s="787"/>
      <c r="X31" s="766">
        <f t="shared" si="0"/>
        <v>0</v>
      </c>
      <c r="Y31" s="769"/>
      <c r="Z31" s="663"/>
      <c r="AA31" s="663"/>
      <c r="AB31" s="663"/>
      <c r="AC31" s="663"/>
      <c r="AD31" s="663"/>
      <c r="AE31" s="663"/>
      <c r="AF31" s="663"/>
      <c r="AG31" s="663"/>
      <c r="AH31" s="663"/>
      <c r="AI31" s="663"/>
      <c r="AJ31" s="663"/>
      <c r="AK31" s="663"/>
      <c r="AL31" s="663"/>
      <c r="AM31" s="663"/>
      <c r="AN31" s="663"/>
      <c r="AO31" s="663"/>
      <c r="AP31" s="663"/>
      <c r="AQ31" s="663"/>
      <c r="AR31" s="663"/>
      <c r="AS31" s="663"/>
      <c r="AT31" s="663"/>
      <c r="AU31" s="663"/>
      <c r="AV31" s="663"/>
      <c r="AW31" s="663"/>
      <c r="AX31" s="663"/>
      <c r="AY31" s="663"/>
      <c r="AZ31" s="663"/>
      <c r="BA31" s="663"/>
      <c r="BB31" s="663"/>
      <c r="BC31" s="663"/>
      <c r="BD31" s="663"/>
      <c r="BE31" s="663"/>
      <c r="BF31" s="663"/>
      <c r="BG31" s="663"/>
      <c r="BH31" s="663"/>
      <c r="BI31" s="663"/>
      <c r="BJ31" s="663"/>
      <c r="BK31" s="663"/>
      <c r="BL31" s="663"/>
      <c r="BM31" s="663"/>
      <c r="BN31" s="663"/>
      <c r="BO31" s="663"/>
      <c r="BP31" s="663"/>
      <c r="BQ31" s="663"/>
      <c r="BR31" s="663"/>
      <c r="BS31" s="663"/>
      <c r="BT31" s="663"/>
      <c r="BU31" s="663"/>
      <c r="BV31" s="663"/>
      <c r="BW31" s="663"/>
      <c r="BX31" s="663"/>
      <c r="BY31" s="663"/>
      <c r="BZ31" s="663"/>
      <c r="CA31" s="663"/>
      <c r="CB31" s="663"/>
      <c r="CC31" s="663"/>
      <c r="CD31" s="663"/>
      <c r="CE31" s="663"/>
      <c r="CF31" s="663"/>
      <c r="CG31" s="663"/>
      <c r="CH31" s="663"/>
      <c r="CI31" s="663"/>
      <c r="CJ31" s="663"/>
      <c r="CK31" s="663"/>
      <c r="CL31" s="663"/>
    </row>
    <row r="32" spans="1:90" s="603" customFormat="1">
      <c r="A32" s="785" t="s">
        <v>2206</v>
      </c>
      <c r="B32" s="786" t="s">
        <v>1164</v>
      </c>
      <c r="C32" s="746"/>
      <c r="D32" s="746" t="s">
        <v>233</v>
      </c>
      <c r="E32" s="695"/>
      <c r="F32" s="695"/>
      <c r="G32" s="695"/>
      <c r="H32" s="695"/>
      <c r="I32" s="695"/>
      <c r="J32" s="695"/>
      <c r="K32" s="695"/>
      <c r="L32" s="695"/>
      <c r="M32" s="695"/>
      <c r="N32" s="695">
        <v>1</v>
      </c>
      <c r="O32" s="695"/>
      <c r="P32" s="695"/>
      <c r="Q32" s="695"/>
      <c r="R32" s="695"/>
      <c r="S32" s="695"/>
      <c r="T32" s="695"/>
      <c r="U32" s="695"/>
      <c r="V32" s="622">
        <f t="shared" si="1"/>
        <v>1</v>
      </c>
      <c r="W32" s="787"/>
      <c r="X32" s="766">
        <f t="shared" si="0"/>
        <v>0</v>
      </c>
      <c r="Y32" s="769"/>
      <c r="Z32" s="663"/>
      <c r="AA32" s="663"/>
      <c r="AB32" s="663"/>
      <c r="AC32" s="663"/>
      <c r="AD32" s="663"/>
      <c r="AE32" s="663"/>
      <c r="AF32" s="663"/>
      <c r="AG32" s="663"/>
      <c r="AH32" s="663"/>
      <c r="AI32" s="663"/>
      <c r="AJ32" s="663"/>
      <c r="AK32" s="663"/>
      <c r="AL32" s="663"/>
      <c r="AM32" s="663"/>
      <c r="AN32" s="663"/>
      <c r="AO32" s="663"/>
      <c r="AP32" s="663"/>
      <c r="AQ32" s="663"/>
      <c r="AR32" s="663"/>
      <c r="AS32" s="663"/>
      <c r="AT32" s="663"/>
      <c r="AU32" s="663"/>
      <c r="AV32" s="663"/>
      <c r="AW32" s="663"/>
      <c r="AX32" s="663"/>
      <c r="AY32" s="663"/>
      <c r="AZ32" s="663"/>
      <c r="BA32" s="663"/>
      <c r="BB32" s="663"/>
      <c r="BC32" s="663"/>
      <c r="BD32" s="663"/>
      <c r="BE32" s="663"/>
      <c r="BF32" s="663"/>
      <c r="BG32" s="663"/>
      <c r="BH32" s="663"/>
      <c r="BI32" s="663"/>
      <c r="BJ32" s="663"/>
      <c r="BK32" s="663"/>
      <c r="BL32" s="663"/>
      <c r="BM32" s="663"/>
      <c r="BN32" s="663"/>
      <c r="BO32" s="663"/>
      <c r="BP32" s="663"/>
      <c r="BQ32" s="663"/>
      <c r="BR32" s="663"/>
      <c r="BS32" s="663"/>
      <c r="BT32" s="663"/>
      <c r="BU32" s="663"/>
      <c r="BV32" s="663"/>
      <c r="BW32" s="663"/>
      <c r="BX32" s="663"/>
      <c r="BY32" s="663"/>
      <c r="BZ32" s="663"/>
      <c r="CA32" s="663"/>
      <c r="CB32" s="663"/>
      <c r="CC32" s="663"/>
      <c r="CD32" s="663"/>
      <c r="CE32" s="663"/>
      <c r="CF32" s="663"/>
      <c r="CG32" s="663"/>
      <c r="CH32" s="663"/>
      <c r="CI32" s="663"/>
      <c r="CJ32" s="663"/>
      <c r="CK32" s="663"/>
      <c r="CL32" s="663"/>
    </row>
    <row r="33" spans="1:90" s="603" customFormat="1">
      <c r="A33" s="785" t="s">
        <v>2207</v>
      </c>
      <c r="B33" s="786" t="s">
        <v>1165</v>
      </c>
      <c r="C33" s="746"/>
      <c r="D33" s="746" t="s">
        <v>233</v>
      </c>
      <c r="E33" s="695"/>
      <c r="F33" s="695"/>
      <c r="G33" s="695"/>
      <c r="H33" s="695"/>
      <c r="I33" s="695"/>
      <c r="J33" s="695"/>
      <c r="K33" s="695"/>
      <c r="L33" s="695"/>
      <c r="M33" s="695"/>
      <c r="N33" s="695"/>
      <c r="O33" s="695">
        <v>1</v>
      </c>
      <c r="P33" s="695"/>
      <c r="Q33" s="695"/>
      <c r="R33" s="695"/>
      <c r="S33" s="695"/>
      <c r="T33" s="695"/>
      <c r="U33" s="695"/>
      <c r="V33" s="622">
        <f t="shared" si="1"/>
        <v>1</v>
      </c>
      <c r="W33" s="787"/>
      <c r="X33" s="766">
        <f t="shared" si="0"/>
        <v>0</v>
      </c>
      <c r="Y33" s="769"/>
      <c r="Z33" s="663"/>
      <c r="AA33" s="663"/>
      <c r="AB33" s="663"/>
      <c r="AC33" s="663"/>
      <c r="AD33" s="663"/>
      <c r="AE33" s="663"/>
      <c r="AF33" s="663"/>
      <c r="AG33" s="663"/>
      <c r="AH33" s="663"/>
      <c r="AI33" s="663"/>
      <c r="AJ33" s="663"/>
      <c r="AK33" s="663"/>
      <c r="AL33" s="663"/>
      <c r="AM33" s="663"/>
      <c r="AN33" s="663"/>
      <c r="AO33" s="663"/>
      <c r="AP33" s="663"/>
      <c r="AQ33" s="663"/>
      <c r="AR33" s="663"/>
      <c r="AS33" s="663"/>
      <c r="AT33" s="663"/>
      <c r="AU33" s="663"/>
      <c r="AV33" s="663"/>
      <c r="AW33" s="663"/>
      <c r="AX33" s="663"/>
      <c r="AY33" s="663"/>
      <c r="AZ33" s="663"/>
      <c r="BA33" s="663"/>
      <c r="BB33" s="663"/>
      <c r="BC33" s="663"/>
      <c r="BD33" s="663"/>
      <c r="BE33" s="663"/>
      <c r="BF33" s="663"/>
      <c r="BG33" s="663"/>
      <c r="BH33" s="663"/>
      <c r="BI33" s="663"/>
      <c r="BJ33" s="663"/>
      <c r="BK33" s="663"/>
      <c r="BL33" s="663"/>
      <c r="BM33" s="663"/>
      <c r="BN33" s="663"/>
      <c r="BO33" s="663"/>
      <c r="BP33" s="663"/>
      <c r="BQ33" s="663"/>
      <c r="BR33" s="663"/>
      <c r="BS33" s="663"/>
      <c r="BT33" s="663"/>
      <c r="BU33" s="663"/>
      <c r="BV33" s="663"/>
      <c r="BW33" s="663"/>
      <c r="BX33" s="663"/>
      <c r="BY33" s="663"/>
      <c r="BZ33" s="663"/>
      <c r="CA33" s="663"/>
      <c r="CB33" s="663"/>
      <c r="CC33" s="663"/>
      <c r="CD33" s="663"/>
      <c r="CE33" s="663"/>
      <c r="CF33" s="663"/>
      <c r="CG33" s="663"/>
      <c r="CH33" s="663"/>
      <c r="CI33" s="663"/>
      <c r="CJ33" s="663"/>
      <c r="CK33" s="663"/>
      <c r="CL33" s="663"/>
    </row>
    <row r="34" spans="1:90" s="603" customFormat="1">
      <c r="A34" s="785" t="s">
        <v>2208</v>
      </c>
      <c r="B34" s="786" t="s">
        <v>1166</v>
      </c>
      <c r="C34" s="746"/>
      <c r="D34" s="746" t="s">
        <v>233</v>
      </c>
      <c r="E34" s="695"/>
      <c r="F34" s="695"/>
      <c r="G34" s="695"/>
      <c r="H34" s="695"/>
      <c r="I34" s="695"/>
      <c r="J34" s="695"/>
      <c r="K34" s="695"/>
      <c r="L34" s="695"/>
      <c r="M34" s="695"/>
      <c r="N34" s="695"/>
      <c r="O34" s="695"/>
      <c r="P34" s="695">
        <v>1</v>
      </c>
      <c r="Q34" s="695"/>
      <c r="R34" s="695"/>
      <c r="S34" s="695"/>
      <c r="T34" s="695"/>
      <c r="U34" s="695"/>
      <c r="V34" s="622">
        <f t="shared" si="1"/>
        <v>1</v>
      </c>
      <c r="W34" s="787"/>
      <c r="X34" s="766">
        <f t="shared" si="0"/>
        <v>0</v>
      </c>
      <c r="Y34" s="769"/>
      <c r="Z34" s="663"/>
      <c r="AA34" s="663"/>
      <c r="AB34" s="663"/>
      <c r="AC34" s="663"/>
      <c r="AD34" s="663"/>
      <c r="AE34" s="663"/>
      <c r="AF34" s="663"/>
      <c r="AG34" s="663"/>
      <c r="AH34" s="663"/>
      <c r="AI34" s="663"/>
      <c r="AJ34" s="663"/>
      <c r="AK34" s="663"/>
      <c r="AL34" s="663"/>
      <c r="AM34" s="663"/>
      <c r="AN34" s="663"/>
      <c r="AO34" s="663"/>
      <c r="AP34" s="663"/>
      <c r="AQ34" s="663"/>
      <c r="AR34" s="663"/>
      <c r="AS34" s="663"/>
      <c r="AT34" s="663"/>
      <c r="AU34" s="663"/>
      <c r="AV34" s="663"/>
      <c r="AW34" s="663"/>
      <c r="AX34" s="663"/>
      <c r="AY34" s="663"/>
      <c r="AZ34" s="663"/>
      <c r="BA34" s="663"/>
      <c r="BB34" s="663"/>
      <c r="BC34" s="663"/>
      <c r="BD34" s="663"/>
      <c r="BE34" s="663"/>
      <c r="BF34" s="663"/>
      <c r="BG34" s="663"/>
      <c r="BH34" s="663"/>
      <c r="BI34" s="663"/>
      <c r="BJ34" s="663"/>
      <c r="BK34" s="663"/>
      <c r="BL34" s="663"/>
      <c r="BM34" s="663"/>
      <c r="BN34" s="663"/>
      <c r="BO34" s="663"/>
      <c r="BP34" s="663"/>
      <c r="BQ34" s="663"/>
      <c r="BR34" s="663"/>
      <c r="BS34" s="663"/>
      <c r="BT34" s="663"/>
      <c r="BU34" s="663"/>
      <c r="BV34" s="663"/>
      <c r="BW34" s="663"/>
      <c r="BX34" s="663"/>
      <c r="BY34" s="663"/>
      <c r="BZ34" s="663"/>
      <c r="CA34" s="663"/>
      <c r="CB34" s="663"/>
      <c r="CC34" s="663"/>
      <c r="CD34" s="663"/>
      <c r="CE34" s="663"/>
      <c r="CF34" s="663"/>
      <c r="CG34" s="663"/>
      <c r="CH34" s="663"/>
      <c r="CI34" s="663"/>
      <c r="CJ34" s="663"/>
      <c r="CK34" s="663"/>
      <c r="CL34" s="663"/>
    </row>
    <row r="35" spans="1:90" s="603" customFormat="1">
      <c r="A35" s="785" t="s">
        <v>2209</v>
      </c>
      <c r="B35" s="786" t="s">
        <v>1167</v>
      </c>
      <c r="C35" s="746"/>
      <c r="D35" s="746" t="s">
        <v>233</v>
      </c>
      <c r="E35" s="695"/>
      <c r="F35" s="695"/>
      <c r="G35" s="695"/>
      <c r="H35" s="695"/>
      <c r="I35" s="695"/>
      <c r="J35" s="695"/>
      <c r="K35" s="695"/>
      <c r="L35" s="695"/>
      <c r="M35" s="695"/>
      <c r="N35" s="695"/>
      <c r="O35" s="695"/>
      <c r="P35" s="695"/>
      <c r="Q35" s="695">
        <v>1</v>
      </c>
      <c r="R35" s="695"/>
      <c r="S35" s="695"/>
      <c r="T35" s="695"/>
      <c r="U35" s="695"/>
      <c r="V35" s="622">
        <f t="shared" si="1"/>
        <v>1</v>
      </c>
      <c r="W35" s="787"/>
      <c r="X35" s="766">
        <f t="shared" si="0"/>
        <v>0</v>
      </c>
      <c r="Y35" s="769"/>
      <c r="Z35" s="663"/>
      <c r="AA35" s="663"/>
      <c r="AB35" s="663"/>
      <c r="AC35" s="663"/>
      <c r="AD35" s="663"/>
      <c r="AE35" s="663"/>
      <c r="AF35" s="663"/>
      <c r="AG35" s="663"/>
      <c r="AH35" s="663"/>
      <c r="AI35" s="663"/>
      <c r="AJ35" s="663"/>
      <c r="AK35" s="663"/>
      <c r="AL35" s="663"/>
      <c r="AM35" s="663"/>
      <c r="AN35" s="663"/>
      <c r="AO35" s="663"/>
      <c r="AP35" s="663"/>
      <c r="AQ35" s="663"/>
      <c r="AR35" s="663"/>
      <c r="AS35" s="663"/>
      <c r="AT35" s="663"/>
      <c r="AU35" s="663"/>
      <c r="AV35" s="663"/>
      <c r="AW35" s="663"/>
      <c r="AX35" s="663"/>
      <c r="AY35" s="663"/>
      <c r="AZ35" s="663"/>
      <c r="BA35" s="663"/>
      <c r="BB35" s="663"/>
      <c r="BC35" s="663"/>
      <c r="BD35" s="663"/>
      <c r="BE35" s="663"/>
      <c r="BF35" s="663"/>
      <c r="BG35" s="663"/>
      <c r="BH35" s="663"/>
      <c r="BI35" s="663"/>
      <c r="BJ35" s="663"/>
      <c r="BK35" s="663"/>
      <c r="BL35" s="663"/>
      <c r="BM35" s="663"/>
      <c r="BN35" s="663"/>
      <c r="BO35" s="663"/>
      <c r="BP35" s="663"/>
      <c r="BQ35" s="663"/>
      <c r="BR35" s="663"/>
      <c r="BS35" s="663"/>
      <c r="BT35" s="663"/>
      <c r="BU35" s="663"/>
      <c r="BV35" s="663"/>
      <c r="BW35" s="663"/>
      <c r="BX35" s="663"/>
      <c r="BY35" s="663"/>
      <c r="BZ35" s="663"/>
      <c r="CA35" s="663"/>
      <c r="CB35" s="663"/>
      <c r="CC35" s="663"/>
      <c r="CD35" s="663"/>
      <c r="CE35" s="663"/>
      <c r="CF35" s="663"/>
      <c r="CG35" s="663"/>
      <c r="CH35" s="663"/>
      <c r="CI35" s="663"/>
      <c r="CJ35" s="663"/>
      <c r="CK35" s="663"/>
      <c r="CL35" s="663"/>
    </row>
    <row r="36" spans="1:90" s="603" customFormat="1">
      <c r="A36" s="785" t="s">
        <v>2210</v>
      </c>
      <c r="B36" s="786" t="s">
        <v>1168</v>
      </c>
      <c r="C36" s="746"/>
      <c r="D36" s="746" t="s">
        <v>233</v>
      </c>
      <c r="E36" s="695"/>
      <c r="F36" s="695"/>
      <c r="G36" s="695"/>
      <c r="H36" s="695"/>
      <c r="I36" s="695"/>
      <c r="J36" s="695"/>
      <c r="K36" s="695"/>
      <c r="L36" s="695"/>
      <c r="M36" s="695"/>
      <c r="N36" s="695"/>
      <c r="O36" s="695"/>
      <c r="P36" s="695"/>
      <c r="Q36" s="695"/>
      <c r="R36" s="695">
        <v>1</v>
      </c>
      <c r="S36" s="695"/>
      <c r="T36" s="695"/>
      <c r="U36" s="695"/>
      <c r="V36" s="622">
        <f t="shared" si="1"/>
        <v>1</v>
      </c>
      <c r="W36" s="787"/>
      <c r="X36" s="766">
        <f t="shared" si="0"/>
        <v>0</v>
      </c>
      <c r="Y36" s="769"/>
      <c r="Z36" s="663"/>
      <c r="AA36" s="663"/>
      <c r="AB36" s="663"/>
      <c r="AC36" s="663"/>
      <c r="AD36" s="663"/>
      <c r="AE36" s="663"/>
      <c r="AF36" s="663"/>
      <c r="AG36" s="663"/>
      <c r="AH36" s="663"/>
      <c r="AI36" s="663"/>
      <c r="AJ36" s="663"/>
      <c r="AK36" s="663"/>
      <c r="AL36" s="663"/>
      <c r="AM36" s="663"/>
      <c r="AN36" s="663"/>
      <c r="AO36" s="663"/>
      <c r="AP36" s="663"/>
      <c r="AQ36" s="663"/>
      <c r="AR36" s="663"/>
      <c r="AS36" s="663"/>
      <c r="AT36" s="663"/>
      <c r="AU36" s="663"/>
      <c r="AV36" s="663"/>
      <c r="AW36" s="663"/>
      <c r="AX36" s="663"/>
      <c r="AY36" s="663"/>
      <c r="AZ36" s="663"/>
      <c r="BA36" s="663"/>
      <c r="BB36" s="663"/>
      <c r="BC36" s="663"/>
      <c r="BD36" s="663"/>
      <c r="BE36" s="663"/>
      <c r="BF36" s="663"/>
      <c r="BG36" s="663"/>
      <c r="BH36" s="663"/>
      <c r="BI36" s="663"/>
      <c r="BJ36" s="663"/>
      <c r="BK36" s="663"/>
      <c r="BL36" s="663"/>
      <c r="BM36" s="663"/>
      <c r="BN36" s="663"/>
      <c r="BO36" s="663"/>
      <c r="BP36" s="663"/>
      <c r="BQ36" s="663"/>
      <c r="BR36" s="663"/>
      <c r="BS36" s="663"/>
      <c r="BT36" s="663"/>
      <c r="BU36" s="663"/>
      <c r="BV36" s="663"/>
      <c r="BW36" s="663"/>
      <c r="BX36" s="663"/>
      <c r="BY36" s="663"/>
      <c r="BZ36" s="663"/>
      <c r="CA36" s="663"/>
      <c r="CB36" s="663"/>
      <c r="CC36" s="663"/>
      <c r="CD36" s="663"/>
      <c r="CE36" s="663"/>
      <c r="CF36" s="663"/>
      <c r="CG36" s="663"/>
      <c r="CH36" s="663"/>
      <c r="CI36" s="663"/>
      <c r="CJ36" s="663"/>
      <c r="CK36" s="663"/>
      <c r="CL36" s="663"/>
    </row>
    <row r="37" spans="1:90" s="603" customFormat="1">
      <c r="A37" s="785" t="s">
        <v>2211</v>
      </c>
      <c r="B37" s="786" t="s">
        <v>1169</v>
      </c>
      <c r="C37" s="746"/>
      <c r="D37" s="746" t="s">
        <v>233</v>
      </c>
      <c r="E37" s="695"/>
      <c r="F37" s="695"/>
      <c r="G37" s="695"/>
      <c r="H37" s="695"/>
      <c r="I37" s="695"/>
      <c r="J37" s="695"/>
      <c r="K37" s="695"/>
      <c r="L37" s="695"/>
      <c r="M37" s="695"/>
      <c r="N37" s="695"/>
      <c r="O37" s="695"/>
      <c r="P37" s="695"/>
      <c r="Q37" s="695"/>
      <c r="R37" s="695"/>
      <c r="S37" s="695">
        <v>1</v>
      </c>
      <c r="T37" s="695"/>
      <c r="U37" s="695"/>
      <c r="V37" s="622">
        <f t="shared" si="1"/>
        <v>1</v>
      </c>
      <c r="W37" s="787"/>
      <c r="X37" s="766">
        <f t="shared" si="0"/>
        <v>0</v>
      </c>
      <c r="Y37" s="769"/>
      <c r="Z37" s="663"/>
      <c r="AA37" s="663"/>
      <c r="AB37" s="663"/>
      <c r="AC37" s="663"/>
      <c r="AD37" s="663"/>
      <c r="AE37" s="663"/>
      <c r="AF37" s="663"/>
      <c r="AG37" s="663"/>
      <c r="AH37" s="663"/>
      <c r="AI37" s="663"/>
      <c r="AJ37" s="663"/>
      <c r="AK37" s="663"/>
      <c r="AL37" s="663"/>
      <c r="AM37" s="663"/>
      <c r="AN37" s="663"/>
      <c r="AO37" s="663"/>
      <c r="AP37" s="663"/>
      <c r="AQ37" s="663"/>
      <c r="AR37" s="663"/>
      <c r="AS37" s="663"/>
      <c r="AT37" s="663"/>
      <c r="AU37" s="663"/>
      <c r="AV37" s="663"/>
      <c r="AW37" s="663"/>
      <c r="AX37" s="663"/>
      <c r="AY37" s="663"/>
      <c r="AZ37" s="663"/>
      <c r="BA37" s="663"/>
      <c r="BB37" s="663"/>
      <c r="BC37" s="663"/>
      <c r="BD37" s="663"/>
      <c r="BE37" s="663"/>
      <c r="BF37" s="663"/>
      <c r="BG37" s="663"/>
      <c r="BH37" s="663"/>
      <c r="BI37" s="663"/>
      <c r="BJ37" s="663"/>
      <c r="BK37" s="663"/>
      <c r="BL37" s="663"/>
      <c r="BM37" s="663"/>
      <c r="BN37" s="663"/>
      <c r="BO37" s="663"/>
      <c r="BP37" s="663"/>
      <c r="BQ37" s="663"/>
      <c r="BR37" s="663"/>
      <c r="BS37" s="663"/>
      <c r="BT37" s="663"/>
      <c r="BU37" s="663"/>
      <c r="BV37" s="663"/>
      <c r="BW37" s="663"/>
      <c r="BX37" s="663"/>
      <c r="BY37" s="663"/>
      <c r="BZ37" s="663"/>
      <c r="CA37" s="663"/>
      <c r="CB37" s="663"/>
      <c r="CC37" s="663"/>
      <c r="CD37" s="663"/>
      <c r="CE37" s="663"/>
      <c r="CF37" s="663"/>
      <c r="CG37" s="663"/>
      <c r="CH37" s="663"/>
      <c r="CI37" s="663"/>
      <c r="CJ37" s="663"/>
      <c r="CK37" s="663"/>
      <c r="CL37" s="663"/>
    </row>
    <row r="38" spans="1:90" s="603" customFormat="1">
      <c r="A38" s="785" t="s">
        <v>2212</v>
      </c>
      <c r="B38" s="786" t="s">
        <v>1170</v>
      </c>
      <c r="C38" s="746"/>
      <c r="D38" s="746" t="s">
        <v>233</v>
      </c>
      <c r="E38" s="695"/>
      <c r="F38" s="695"/>
      <c r="G38" s="695"/>
      <c r="H38" s="695"/>
      <c r="I38" s="695"/>
      <c r="J38" s="695"/>
      <c r="K38" s="695"/>
      <c r="L38" s="695"/>
      <c r="M38" s="695"/>
      <c r="N38" s="695"/>
      <c r="O38" s="695"/>
      <c r="P38" s="695"/>
      <c r="Q38" s="695"/>
      <c r="R38" s="695"/>
      <c r="S38" s="695"/>
      <c r="T38" s="695">
        <v>1</v>
      </c>
      <c r="U38" s="695"/>
      <c r="V38" s="622">
        <f t="shared" si="1"/>
        <v>1</v>
      </c>
      <c r="W38" s="787"/>
      <c r="X38" s="766">
        <f t="shared" si="0"/>
        <v>0</v>
      </c>
      <c r="Y38" s="769"/>
      <c r="Z38" s="663"/>
      <c r="AA38" s="663"/>
      <c r="AB38" s="663"/>
      <c r="AC38" s="663"/>
      <c r="AD38" s="663"/>
      <c r="AE38" s="663"/>
      <c r="AF38" s="663"/>
      <c r="AG38" s="663"/>
      <c r="AH38" s="663"/>
      <c r="AI38" s="663"/>
      <c r="AJ38" s="663"/>
      <c r="AK38" s="663"/>
      <c r="AL38" s="663"/>
      <c r="AM38" s="663"/>
      <c r="AN38" s="663"/>
      <c r="AO38" s="663"/>
      <c r="AP38" s="663"/>
      <c r="AQ38" s="663"/>
      <c r="AR38" s="663"/>
      <c r="AS38" s="663"/>
      <c r="AT38" s="663"/>
      <c r="AU38" s="663"/>
      <c r="AV38" s="663"/>
      <c r="AW38" s="663"/>
      <c r="AX38" s="663"/>
      <c r="AY38" s="663"/>
      <c r="AZ38" s="663"/>
      <c r="BA38" s="663"/>
      <c r="BB38" s="663"/>
      <c r="BC38" s="663"/>
      <c r="BD38" s="663"/>
      <c r="BE38" s="663"/>
      <c r="BF38" s="663"/>
      <c r="BG38" s="663"/>
      <c r="BH38" s="663"/>
      <c r="BI38" s="663"/>
      <c r="BJ38" s="663"/>
      <c r="BK38" s="663"/>
      <c r="BL38" s="663"/>
      <c r="BM38" s="663"/>
      <c r="BN38" s="663"/>
      <c r="BO38" s="663"/>
      <c r="BP38" s="663"/>
      <c r="BQ38" s="663"/>
      <c r="BR38" s="663"/>
      <c r="BS38" s="663"/>
      <c r="BT38" s="663"/>
      <c r="BU38" s="663"/>
      <c r="BV38" s="663"/>
      <c r="BW38" s="663"/>
      <c r="BX38" s="663"/>
      <c r="BY38" s="663"/>
      <c r="BZ38" s="663"/>
      <c r="CA38" s="663"/>
      <c r="CB38" s="663"/>
      <c r="CC38" s="663"/>
      <c r="CD38" s="663"/>
      <c r="CE38" s="663"/>
      <c r="CF38" s="663"/>
      <c r="CG38" s="663"/>
      <c r="CH38" s="663"/>
      <c r="CI38" s="663"/>
      <c r="CJ38" s="663"/>
      <c r="CK38" s="663"/>
      <c r="CL38" s="663"/>
    </row>
    <row r="39" spans="1:90" s="603" customFormat="1" ht="33" customHeight="1">
      <c r="A39" s="783" t="s">
        <v>2213</v>
      </c>
      <c r="B39" s="1041" t="s">
        <v>1171</v>
      </c>
      <c r="C39" s="1356" t="s">
        <v>2844</v>
      </c>
      <c r="D39" s="746"/>
      <c r="E39" s="695"/>
      <c r="F39" s="695"/>
      <c r="G39" s="695"/>
      <c r="H39" s="695"/>
      <c r="I39" s="695"/>
      <c r="J39" s="695"/>
      <c r="K39" s="695"/>
      <c r="L39" s="695"/>
      <c r="M39" s="695"/>
      <c r="N39" s="695"/>
      <c r="O39" s="695"/>
      <c r="P39" s="695"/>
      <c r="Q39" s="695"/>
      <c r="R39" s="695"/>
      <c r="S39" s="695"/>
      <c r="T39" s="695"/>
      <c r="U39" s="695"/>
      <c r="V39" s="622"/>
      <c r="W39" s="622"/>
      <c r="X39" s="766"/>
      <c r="Y39" s="769"/>
      <c r="Z39" s="663"/>
      <c r="AA39" s="663"/>
      <c r="AB39" s="663"/>
      <c r="AC39" s="663"/>
      <c r="AD39" s="663"/>
      <c r="AE39" s="663"/>
      <c r="AF39" s="663"/>
      <c r="AG39" s="663"/>
      <c r="AH39" s="663"/>
      <c r="AI39" s="663"/>
      <c r="AJ39" s="663"/>
      <c r="AK39" s="663"/>
      <c r="AL39" s="663"/>
      <c r="AM39" s="663"/>
      <c r="AN39" s="663"/>
      <c r="AO39" s="663"/>
      <c r="AP39" s="663"/>
      <c r="AQ39" s="663"/>
      <c r="AR39" s="663"/>
      <c r="AS39" s="663"/>
      <c r="AT39" s="663"/>
      <c r="AU39" s="663"/>
      <c r="AV39" s="663"/>
      <c r="AW39" s="663"/>
      <c r="AX39" s="663"/>
      <c r="AY39" s="663"/>
      <c r="AZ39" s="663"/>
      <c r="BA39" s="663"/>
      <c r="BB39" s="663"/>
      <c r="BC39" s="663"/>
      <c r="BD39" s="663"/>
      <c r="BE39" s="663"/>
      <c r="BF39" s="663"/>
      <c r="BG39" s="663"/>
      <c r="BH39" s="663"/>
      <c r="BI39" s="663"/>
      <c r="BJ39" s="663"/>
      <c r="BK39" s="663"/>
      <c r="BL39" s="663"/>
      <c r="BM39" s="663"/>
      <c r="BN39" s="663"/>
      <c r="BO39" s="663"/>
      <c r="BP39" s="663"/>
      <c r="BQ39" s="663"/>
      <c r="BR39" s="663"/>
      <c r="BS39" s="663"/>
      <c r="BT39" s="663"/>
      <c r="BU39" s="663"/>
      <c r="BV39" s="663"/>
      <c r="BW39" s="663"/>
      <c r="BX39" s="663"/>
      <c r="BY39" s="663"/>
      <c r="BZ39" s="663"/>
      <c r="CA39" s="663"/>
      <c r="CB39" s="663"/>
      <c r="CC39" s="663"/>
      <c r="CD39" s="663"/>
      <c r="CE39" s="663"/>
      <c r="CF39" s="663"/>
      <c r="CG39" s="663"/>
      <c r="CH39" s="663"/>
      <c r="CI39" s="663"/>
      <c r="CJ39" s="663"/>
      <c r="CK39" s="663"/>
      <c r="CL39" s="663"/>
    </row>
    <row r="40" spans="1:90" s="603" customFormat="1" ht="21" customHeight="1">
      <c r="A40" s="785" t="s">
        <v>2214</v>
      </c>
      <c r="B40" s="786" t="s">
        <v>1306</v>
      </c>
      <c r="C40" s="746"/>
      <c r="D40" s="746" t="s">
        <v>233</v>
      </c>
      <c r="E40" s="695"/>
      <c r="F40" s="695"/>
      <c r="G40" s="695"/>
      <c r="H40" s="695"/>
      <c r="I40" s="695"/>
      <c r="J40" s="695"/>
      <c r="K40" s="695"/>
      <c r="L40" s="695"/>
      <c r="M40" s="695"/>
      <c r="N40" s="695"/>
      <c r="O40" s="695"/>
      <c r="P40" s="695"/>
      <c r="Q40" s="695"/>
      <c r="R40" s="695"/>
      <c r="S40" s="695"/>
      <c r="T40" s="695"/>
      <c r="U40" s="695">
        <v>1</v>
      </c>
      <c r="V40" s="622">
        <f t="shared" si="1"/>
        <v>1</v>
      </c>
      <c r="W40" s="787"/>
      <c r="X40" s="766">
        <f t="shared" si="0"/>
        <v>0</v>
      </c>
      <c r="Y40" s="769"/>
      <c r="Z40" s="663"/>
      <c r="AA40" s="663"/>
      <c r="AB40" s="663"/>
      <c r="AC40" s="663"/>
      <c r="AD40" s="663"/>
      <c r="AE40" s="663"/>
      <c r="AF40" s="663"/>
      <c r="AG40" s="663"/>
      <c r="AH40" s="663"/>
      <c r="AI40" s="663"/>
      <c r="AJ40" s="663"/>
      <c r="AK40" s="663"/>
      <c r="AL40" s="663"/>
      <c r="AM40" s="663"/>
      <c r="AN40" s="663"/>
      <c r="AO40" s="663"/>
      <c r="AP40" s="663"/>
      <c r="AQ40" s="663"/>
      <c r="AR40" s="663"/>
      <c r="AS40" s="663"/>
      <c r="AT40" s="663"/>
      <c r="AU40" s="663"/>
      <c r="AV40" s="663"/>
      <c r="AW40" s="663"/>
      <c r="AX40" s="663"/>
      <c r="AY40" s="663"/>
      <c r="AZ40" s="663"/>
      <c r="BA40" s="663"/>
      <c r="BB40" s="663"/>
      <c r="BC40" s="663"/>
      <c r="BD40" s="663"/>
      <c r="BE40" s="663"/>
      <c r="BF40" s="663"/>
      <c r="BG40" s="663"/>
      <c r="BH40" s="663"/>
      <c r="BI40" s="663"/>
      <c r="BJ40" s="663"/>
      <c r="BK40" s="663"/>
      <c r="BL40" s="663"/>
      <c r="BM40" s="663"/>
      <c r="BN40" s="663"/>
      <c r="BO40" s="663"/>
      <c r="BP40" s="663"/>
      <c r="BQ40" s="663"/>
      <c r="BR40" s="663"/>
      <c r="BS40" s="663"/>
      <c r="BT40" s="663"/>
      <c r="BU40" s="663"/>
      <c r="BV40" s="663"/>
      <c r="BW40" s="663"/>
      <c r="BX40" s="663"/>
      <c r="BY40" s="663"/>
      <c r="BZ40" s="663"/>
      <c r="CA40" s="663"/>
      <c r="CB40" s="663"/>
      <c r="CC40" s="663"/>
      <c r="CD40" s="663"/>
      <c r="CE40" s="663"/>
      <c r="CF40" s="663"/>
      <c r="CG40" s="663"/>
      <c r="CH40" s="663"/>
      <c r="CI40" s="663"/>
      <c r="CJ40" s="663"/>
      <c r="CK40" s="663"/>
      <c r="CL40" s="663"/>
    </row>
    <row r="41" spans="1:90">
      <c r="A41" s="732" t="s">
        <v>2215</v>
      </c>
      <c r="B41" s="1040" t="s">
        <v>1307</v>
      </c>
      <c r="C41" s="689" t="s">
        <v>2845</v>
      </c>
      <c r="D41" s="689"/>
      <c r="E41" s="695"/>
      <c r="F41" s="695"/>
      <c r="G41" s="695"/>
      <c r="H41" s="695"/>
      <c r="I41" s="695"/>
      <c r="J41" s="695"/>
      <c r="K41" s="695"/>
      <c r="L41" s="695"/>
      <c r="M41" s="695"/>
      <c r="N41" s="695"/>
      <c r="O41" s="695"/>
      <c r="P41" s="695"/>
      <c r="Q41" s="695"/>
      <c r="R41" s="695"/>
      <c r="S41" s="695"/>
      <c r="T41" s="695"/>
      <c r="U41" s="695"/>
      <c r="V41" s="622"/>
      <c r="W41" s="622"/>
      <c r="X41" s="622"/>
    </row>
    <row r="42" spans="1:90" s="603" customFormat="1">
      <c r="A42" s="749" t="s">
        <v>2216</v>
      </c>
      <c r="B42" s="747" t="s">
        <v>1308</v>
      </c>
      <c r="C42" s="1047"/>
      <c r="D42" s="746" t="s">
        <v>18</v>
      </c>
      <c r="E42" s="695"/>
      <c r="F42" s="695"/>
      <c r="G42" s="695"/>
      <c r="H42" s="695"/>
      <c r="I42" s="695"/>
      <c r="J42" s="695"/>
      <c r="K42" s="695"/>
      <c r="L42" s="695"/>
      <c r="M42" s="695"/>
      <c r="N42" s="695"/>
      <c r="O42" s="695"/>
      <c r="P42" s="695"/>
      <c r="Q42" s="695"/>
      <c r="R42" s="695"/>
      <c r="S42" s="695"/>
      <c r="T42" s="695"/>
      <c r="U42" s="695">
        <v>2</v>
      </c>
      <c r="V42" s="622">
        <f t="shared" ref="V42" si="2">SUM(E42:U42)</f>
        <v>2</v>
      </c>
      <c r="W42" s="767"/>
      <c r="X42" s="766">
        <f t="shared" ref="X42" si="3">V42*W42</f>
        <v>0</v>
      </c>
      <c r="Y42" s="663"/>
      <c r="Z42" s="663"/>
      <c r="AA42" s="663"/>
      <c r="AB42" s="663"/>
      <c r="AC42" s="663"/>
      <c r="AD42" s="663"/>
      <c r="AE42" s="663"/>
      <c r="AF42" s="663"/>
      <c r="AG42" s="663"/>
      <c r="AH42" s="663"/>
      <c r="AI42" s="663"/>
      <c r="AJ42" s="663"/>
      <c r="AK42" s="663"/>
      <c r="AL42" s="663"/>
      <c r="AM42" s="663"/>
      <c r="AN42" s="663"/>
      <c r="AO42" s="663"/>
      <c r="AP42" s="663"/>
      <c r="AQ42" s="663"/>
      <c r="AR42" s="663"/>
      <c r="AS42" s="663"/>
      <c r="AT42" s="663"/>
      <c r="AU42" s="663"/>
      <c r="AV42" s="663"/>
      <c r="AW42" s="663"/>
      <c r="AX42" s="663"/>
      <c r="AY42" s="663"/>
      <c r="AZ42" s="663"/>
      <c r="BA42" s="663"/>
      <c r="BB42" s="663"/>
      <c r="BC42" s="663"/>
      <c r="BD42" s="663"/>
      <c r="BE42" s="663"/>
      <c r="BF42" s="663"/>
      <c r="BG42" s="663"/>
      <c r="BH42" s="663"/>
      <c r="BI42" s="663"/>
      <c r="BJ42" s="663"/>
      <c r="BK42" s="663"/>
      <c r="BL42" s="663"/>
      <c r="BM42" s="663"/>
      <c r="BN42" s="663"/>
      <c r="BO42" s="663"/>
      <c r="BP42" s="663"/>
      <c r="BQ42" s="663"/>
      <c r="BR42" s="663"/>
      <c r="BS42" s="663"/>
      <c r="BT42" s="663"/>
      <c r="BU42" s="663"/>
      <c r="BV42" s="663"/>
      <c r="BW42" s="663"/>
      <c r="BX42" s="663"/>
      <c r="BY42" s="663"/>
      <c r="BZ42" s="663"/>
      <c r="CA42" s="663"/>
      <c r="CB42" s="663"/>
      <c r="CC42" s="663"/>
      <c r="CD42" s="663"/>
      <c r="CE42" s="663"/>
      <c r="CF42" s="663"/>
      <c r="CG42" s="663"/>
      <c r="CH42" s="663"/>
      <c r="CI42" s="663"/>
      <c r="CJ42" s="663"/>
      <c r="CK42" s="663"/>
      <c r="CL42" s="663"/>
    </row>
    <row r="43" spans="1:90" s="603" customFormat="1">
      <c r="A43" s="749" t="s">
        <v>2217</v>
      </c>
      <c r="B43" s="747" t="s">
        <v>1172</v>
      </c>
      <c r="C43" s="1047"/>
      <c r="D43" s="746" t="s">
        <v>18</v>
      </c>
      <c r="E43" s="695"/>
      <c r="F43" s="695"/>
      <c r="G43" s="695"/>
      <c r="H43" s="695"/>
      <c r="I43" s="695"/>
      <c r="J43" s="695"/>
      <c r="K43" s="695"/>
      <c r="L43" s="695"/>
      <c r="M43" s="695"/>
      <c r="N43" s="695"/>
      <c r="O43" s="695"/>
      <c r="P43" s="695"/>
      <c r="Q43" s="695"/>
      <c r="R43" s="695"/>
      <c r="S43" s="695"/>
      <c r="T43" s="695"/>
      <c r="U43" s="695">
        <v>1</v>
      </c>
      <c r="V43" s="622">
        <f t="shared" ref="V43" si="4">SUM(E43:U43)</f>
        <v>1</v>
      </c>
      <c r="W43" s="767"/>
      <c r="X43" s="766">
        <f t="shared" ref="X43" si="5">V43*W43</f>
        <v>0</v>
      </c>
      <c r="Y43" s="663"/>
      <c r="Z43" s="663"/>
      <c r="AA43" s="663"/>
      <c r="AB43" s="663"/>
      <c r="AC43" s="663"/>
      <c r="AD43" s="663"/>
      <c r="AE43" s="663"/>
      <c r="AF43" s="663"/>
      <c r="AG43" s="663"/>
      <c r="AH43" s="663"/>
      <c r="AI43" s="663"/>
      <c r="AJ43" s="663"/>
      <c r="AK43" s="663"/>
      <c r="AL43" s="663"/>
      <c r="AM43" s="663"/>
      <c r="AN43" s="663"/>
      <c r="AO43" s="663"/>
      <c r="AP43" s="663"/>
      <c r="AQ43" s="663"/>
      <c r="AR43" s="663"/>
      <c r="AS43" s="663"/>
      <c r="AT43" s="663"/>
      <c r="AU43" s="663"/>
      <c r="AV43" s="663"/>
      <c r="AW43" s="663"/>
      <c r="AX43" s="663"/>
      <c r="AY43" s="663"/>
      <c r="AZ43" s="663"/>
      <c r="BA43" s="663"/>
      <c r="BB43" s="663"/>
      <c r="BC43" s="663"/>
      <c r="BD43" s="663"/>
      <c r="BE43" s="663"/>
      <c r="BF43" s="663"/>
      <c r="BG43" s="663"/>
      <c r="BH43" s="663"/>
      <c r="BI43" s="663"/>
      <c r="BJ43" s="663"/>
      <c r="BK43" s="663"/>
      <c r="BL43" s="663"/>
      <c r="BM43" s="663"/>
      <c r="BN43" s="663"/>
      <c r="BO43" s="663"/>
      <c r="BP43" s="663"/>
      <c r="BQ43" s="663"/>
      <c r="BR43" s="663"/>
      <c r="BS43" s="663"/>
      <c r="BT43" s="663"/>
      <c r="BU43" s="663"/>
      <c r="BV43" s="663"/>
      <c r="BW43" s="663"/>
      <c r="BX43" s="663"/>
      <c r="BY43" s="663"/>
      <c r="BZ43" s="663"/>
      <c r="CA43" s="663"/>
      <c r="CB43" s="663"/>
      <c r="CC43" s="663"/>
      <c r="CD43" s="663"/>
      <c r="CE43" s="663"/>
      <c r="CF43" s="663"/>
      <c r="CG43" s="663"/>
      <c r="CH43" s="663"/>
      <c r="CI43" s="663"/>
      <c r="CJ43" s="663"/>
      <c r="CK43" s="663"/>
      <c r="CL43" s="663"/>
    </row>
    <row r="44" spans="1:90" s="603" customFormat="1" ht="16.5" customHeight="1">
      <c r="A44" s="749" t="s">
        <v>2218</v>
      </c>
      <c r="B44" s="747" t="s">
        <v>1309</v>
      </c>
      <c r="C44" s="1047"/>
      <c r="D44" s="746" t="s">
        <v>18</v>
      </c>
      <c r="E44" s="695"/>
      <c r="F44" s="695"/>
      <c r="G44" s="695"/>
      <c r="H44" s="695"/>
      <c r="I44" s="695"/>
      <c r="J44" s="695"/>
      <c r="K44" s="695"/>
      <c r="L44" s="695"/>
      <c r="M44" s="695"/>
      <c r="N44" s="695"/>
      <c r="O44" s="695"/>
      <c r="P44" s="695"/>
      <c r="Q44" s="695"/>
      <c r="R44" s="695"/>
      <c r="S44" s="695"/>
      <c r="T44" s="695"/>
      <c r="U44" s="695">
        <v>1</v>
      </c>
      <c r="V44" s="622">
        <f t="shared" ref="V44:V45" si="6">SUM(E44:U44)</f>
        <v>1</v>
      </c>
      <c r="W44" s="767"/>
      <c r="X44" s="766">
        <f t="shared" ref="X44:X45" si="7">V44*W44</f>
        <v>0</v>
      </c>
      <c r="Y44" s="663"/>
      <c r="Z44" s="663"/>
      <c r="AA44" s="663"/>
      <c r="AB44" s="663"/>
      <c r="AC44" s="663"/>
      <c r="AD44" s="663"/>
      <c r="AE44" s="663"/>
      <c r="AF44" s="663"/>
      <c r="AG44" s="663"/>
      <c r="AH44" s="663"/>
      <c r="AI44" s="663"/>
      <c r="AJ44" s="663"/>
      <c r="AK44" s="663"/>
      <c r="AL44" s="663"/>
      <c r="AM44" s="663"/>
      <c r="AN44" s="663"/>
      <c r="AO44" s="663"/>
      <c r="AP44" s="663"/>
      <c r="AQ44" s="663"/>
      <c r="AR44" s="663"/>
      <c r="AS44" s="663"/>
      <c r="AT44" s="663"/>
      <c r="AU44" s="663"/>
      <c r="AV44" s="663"/>
      <c r="AW44" s="663"/>
      <c r="AX44" s="663"/>
      <c r="AY44" s="663"/>
      <c r="AZ44" s="663"/>
      <c r="BA44" s="663"/>
      <c r="BB44" s="663"/>
      <c r="BC44" s="663"/>
      <c r="BD44" s="663"/>
      <c r="BE44" s="663"/>
      <c r="BF44" s="663"/>
      <c r="BG44" s="663"/>
      <c r="BH44" s="663"/>
      <c r="BI44" s="663"/>
      <c r="BJ44" s="663"/>
      <c r="BK44" s="663"/>
      <c r="BL44" s="663"/>
      <c r="BM44" s="663"/>
      <c r="BN44" s="663"/>
      <c r="BO44" s="663"/>
      <c r="BP44" s="663"/>
      <c r="BQ44" s="663"/>
      <c r="BR44" s="663"/>
      <c r="BS44" s="663"/>
      <c r="BT44" s="663"/>
      <c r="BU44" s="663"/>
      <c r="BV44" s="663"/>
      <c r="BW44" s="663"/>
      <c r="BX44" s="663"/>
      <c r="BY44" s="663"/>
      <c r="BZ44" s="663"/>
      <c r="CA44" s="663"/>
      <c r="CB44" s="663"/>
      <c r="CC44" s="663"/>
      <c r="CD44" s="663"/>
      <c r="CE44" s="663"/>
      <c r="CF44" s="663"/>
      <c r="CG44" s="663"/>
      <c r="CH44" s="663"/>
      <c r="CI44" s="663"/>
      <c r="CJ44" s="663"/>
      <c r="CK44" s="663"/>
      <c r="CL44" s="663"/>
    </row>
    <row r="45" spans="1:90" s="603" customFormat="1">
      <c r="A45" s="749" t="s">
        <v>2219</v>
      </c>
      <c r="B45" s="747" t="s">
        <v>2824</v>
      </c>
      <c r="C45" s="1047"/>
      <c r="D45" s="746" t="s">
        <v>18</v>
      </c>
      <c r="E45" s="695"/>
      <c r="F45" s="695"/>
      <c r="G45" s="695"/>
      <c r="H45" s="695"/>
      <c r="I45" s="695"/>
      <c r="J45" s="695"/>
      <c r="K45" s="695"/>
      <c r="L45" s="695"/>
      <c r="M45" s="695"/>
      <c r="N45" s="695"/>
      <c r="O45" s="695"/>
      <c r="P45" s="695"/>
      <c r="Q45" s="695"/>
      <c r="R45" s="695"/>
      <c r="S45" s="695"/>
      <c r="T45" s="695"/>
      <c r="U45" s="695">
        <v>3</v>
      </c>
      <c r="V45" s="622">
        <f t="shared" si="6"/>
        <v>3</v>
      </c>
      <c r="W45" s="767"/>
      <c r="X45" s="766">
        <f t="shared" si="7"/>
        <v>0</v>
      </c>
      <c r="Y45" s="663"/>
      <c r="Z45" s="663"/>
      <c r="AA45" s="663"/>
      <c r="AB45" s="663"/>
      <c r="AC45" s="663"/>
      <c r="AD45" s="663"/>
      <c r="AE45" s="663"/>
      <c r="AF45" s="663"/>
      <c r="AG45" s="663"/>
      <c r="AH45" s="663"/>
      <c r="AI45" s="663"/>
      <c r="AJ45" s="663"/>
      <c r="AK45" s="663"/>
      <c r="AL45" s="663"/>
      <c r="AM45" s="663"/>
      <c r="AN45" s="663"/>
      <c r="AO45" s="663"/>
      <c r="AP45" s="663"/>
      <c r="AQ45" s="663"/>
      <c r="AR45" s="663"/>
      <c r="AS45" s="663"/>
      <c r="AT45" s="663"/>
      <c r="AU45" s="663"/>
      <c r="AV45" s="663"/>
      <c r="AW45" s="663"/>
      <c r="AX45" s="663"/>
      <c r="AY45" s="663"/>
      <c r="AZ45" s="663"/>
      <c r="BA45" s="663"/>
      <c r="BB45" s="663"/>
      <c r="BC45" s="663"/>
      <c r="BD45" s="663"/>
      <c r="BE45" s="663"/>
      <c r="BF45" s="663"/>
      <c r="BG45" s="663"/>
      <c r="BH45" s="663"/>
      <c r="BI45" s="663"/>
      <c r="BJ45" s="663"/>
      <c r="BK45" s="663"/>
      <c r="BL45" s="663"/>
      <c r="BM45" s="663"/>
      <c r="BN45" s="663"/>
      <c r="BO45" s="663"/>
      <c r="BP45" s="663"/>
      <c r="BQ45" s="663"/>
      <c r="BR45" s="663"/>
      <c r="BS45" s="663"/>
      <c r="BT45" s="663"/>
      <c r="BU45" s="663"/>
      <c r="BV45" s="663"/>
      <c r="BW45" s="663"/>
      <c r="BX45" s="663"/>
      <c r="BY45" s="663"/>
      <c r="BZ45" s="663"/>
      <c r="CA45" s="663"/>
      <c r="CB45" s="663"/>
      <c r="CC45" s="663"/>
      <c r="CD45" s="663"/>
      <c r="CE45" s="663"/>
      <c r="CF45" s="663"/>
      <c r="CG45" s="663"/>
      <c r="CH45" s="663"/>
      <c r="CI45" s="663"/>
      <c r="CJ45" s="663"/>
      <c r="CK45" s="663"/>
      <c r="CL45" s="663"/>
    </row>
    <row r="46" spans="1:90" s="596" customFormat="1" ht="18" customHeight="1">
      <c r="A46" s="749" t="s">
        <v>2220</v>
      </c>
      <c r="B46" s="747" t="s">
        <v>1310</v>
      </c>
      <c r="C46" s="1047"/>
      <c r="D46" s="751" t="s">
        <v>18</v>
      </c>
      <c r="E46" s="695"/>
      <c r="F46" s="695"/>
      <c r="G46" s="695"/>
      <c r="H46" s="695"/>
      <c r="I46" s="695"/>
      <c r="J46" s="695"/>
      <c r="K46" s="695"/>
      <c r="L46" s="695"/>
      <c r="M46" s="695"/>
      <c r="N46" s="695"/>
      <c r="O46" s="695"/>
      <c r="P46" s="695"/>
      <c r="Q46" s="695"/>
      <c r="R46" s="695"/>
      <c r="S46" s="695"/>
      <c r="T46" s="695"/>
      <c r="U46" s="695">
        <v>1</v>
      </c>
      <c r="V46" s="622">
        <f t="shared" ref="V46" si="8">SUM(E46:U46)</f>
        <v>1</v>
      </c>
      <c r="W46" s="767"/>
      <c r="X46" s="766">
        <f t="shared" ref="X46" si="9">V46*W46</f>
        <v>0</v>
      </c>
      <c r="Y46" s="664"/>
      <c r="Z46" s="664"/>
      <c r="AA46" s="664"/>
      <c r="AB46" s="664"/>
      <c r="AC46" s="664"/>
      <c r="AD46" s="664"/>
      <c r="AE46" s="664"/>
      <c r="AF46" s="664"/>
      <c r="AG46" s="664"/>
      <c r="AH46" s="664"/>
      <c r="AI46" s="664"/>
      <c r="AJ46" s="664"/>
      <c r="AK46" s="664"/>
      <c r="AL46" s="664"/>
      <c r="AM46" s="664"/>
      <c r="AN46" s="664"/>
      <c r="AO46" s="664"/>
      <c r="AP46" s="664"/>
      <c r="AQ46" s="664"/>
      <c r="AR46" s="664"/>
      <c r="AS46" s="664"/>
      <c r="AT46" s="664"/>
      <c r="AU46" s="664"/>
      <c r="AV46" s="664"/>
      <c r="AW46" s="664"/>
      <c r="AX46" s="664"/>
      <c r="AY46" s="664"/>
      <c r="AZ46" s="664"/>
      <c r="BA46" s="664"/>
      <c r="BB46" s="664"/>
      <c r="BC46" s="664"/>
      <c r="BD46" s="664"/>
      <c r="BE46" s="664"/>
      <c r="BF46" s="664"/>
      <c r="BG46" s="664"/>
      <c r="BH46" s="664"/>
      <c r="BI46" s="664"/>
      <c r="BJ46" s="664"/>
      <c r="BK46" s="664"/>
      <c r="BL46" s="664"/>
      <c r="BM46" s="664"/>
      <c r="BN46" s="664"/>
      <c r="BO46" s="664"/>
      <c r="BP46" s="664"/>
      <c r="BQ46" s="664"/>
      <c r="BR46" s="664"/>
      <c r="BS46" s="664"/>
      <c r="BT46" s="664"/>
      <c r="BU46" s="664"/>
      <c r="BV46" s="664"/>
      <c r="BW46" s="664"/>
      <c r="BX46" s="664"/>
      <c r="BY46" s="664"/>
      <c r="BZ46" s="664"/>
      <c r="CA46" s="664"/>
      <c r="CB46" s="664"/>
      <c r="CC46" s="664"/>
      <c r="CD46" s="664"/>
      <c r="CE46" s="664"/>
      <c r="CF46" s="664"/>
      <c r="CG46" s="664"/>
      <c r="CH46" s="664"/>
      <c r="CI46" s="664"/>
      <c r="CJ46" s="664"/>
      <c r="CK46" s="664"/>
      <c r="CL46" s="664"/>
    </row>
    <row r="47" spans="1:90" s="603" customFormat="1">
      <c r="A47" s="749" t="s">
        <v>2221</v>
      </c>
      <c r="B47" s="750" t="s">
        <v>2825</v>
      </c>
      <c r="C47" s="1047"/>
      <c r="D47" s="751" t="s">
        <v>18</v>
      </c>
      <c r="E47" s="695"/>
      <c r="F47" s="695"/>
      <c r="G47" s="695"/>
      <c r="H47" s="695"/>
      <c r="I47" s="695"/>
      <c r="J47" s="695"/>
      <c r="K47" s="695"/>
      <c r="L47" s="695"/>
      <c r="M47" s="695"/>
      <c r="N47" s="695"/>
      <c r="O47" s="695"/>
      <c r="P47" s="695"/>
      <c r="Q47" s="695"/>
      <c r="R47" s="695"/>
      <c r="S47" s="695"/>
      <c r="T47" s="695"/>
      <c r="U47" s="695">
        <v>1</v>
      </c>
      <c r="V47" s="622">
        <f t="shared" ref="V47:V48" si="10">SUM(E47:U47)</f>
        <v>1</v>
      </c>
      <c r="W47" s="767"/>
      <c r="X47" s="766">
        <f t="shared" ref="X47:X48" si="11">V47*W47</f>
        <v>0</v>
      </c>
      <c r="Y47" s="663"/>
      <c r="Z47" s="663"/>
      <c r="AA47" s="663"/>
      <c r="AB47" s="663"/>
      <c r="AC47" s="663"/>
      <c r="AD47" s="663"/>
      <c r="AE47" s="663"/>
      <c r="AF47" s="663"/>
      <c r="AG47" s="663"/>
      <c r="AH47" s="663"/>
      <c r="AI47" s="663"/>
      <c r="AJ47" s="663"/>
      <c r="AK47" s="663"/>
      <c r="AL47" s="663"/>
      <c r="AM47" s="663"/>
      <c r="AN47" s="663"/>
      <c r="AO47" s="663"/>
      <c r="AP47" s="663"/>
      <c r="AQ47" s="663"/>
      <c r="AR47" s="663"/>
      <c r="AS47" s="663"/>
      <c r="AT47" s="663"/>
      <c r="AU47" s="663"/>
      <c r="AV47" s="663"/>
      <c r="AW47" s="663"/>
      <c r="AX47" s="663"/>
      <c r="AY47" s="663"/>
      <c r="AZ47" s="663"/>
      <c r="BA47" s="663"/>
      <c r="BB47" s="663"/>
      <c r="BC47" s="663"/>
      <c r="BD47" s="663"/>
      <c r="BE47" s="663"/>
      <c r="BF47" s="663"/>
      <c r="BG47" s="663"/>
      <c r="BH47" s="663"/>
      <c r="BI47" s="663"/>
      <c r="BJ47" s="663"/>
      <c r="BK47" s="663"/>
      <c r="BL47" s="663"/>
      <c r="BM47" s="663"/>
      <c r="BN47" s="663"/>
      <c r="BO47" s="663"/>
      <c r="BP47" s="663"/>
      <c r="BQ47" s="663"/>
      <c r="BR47" s="663"/>
      <c r="BS47" s="663"/>
      <c r="BT47" s="663"/>
      <c r="BU47" s="663"/>
      <c r="BV47" s="663"/>
      <c r="BW47" s="663"/>
      <c r="BX47" s="663"/>
      <c r="BY47" s="663"/>
      <c r="BZ47" s="663"/>
      <c r="CA47" s="663"/>
      <c r="CB47" s="663"/>
      <c r="CC47" s="663"/>
      <c r="CD47" s="663"/>
      <c r="CE47" s="663"/>
      <c r="CF47" s="663"/>
      <c r="CG47" s="663"/>
      <c r="CH47" s="663"/>
      <c r="CI47" s="663"/>
      <c r="CJ47" s="663"/>
      <c r="CK47" s="663"/>
      <c r="CL47" s="663"/>
    </row>
    <row r="48" spans="1:90" s="603" customFormat="1">
      <c r="A48" s="749" t="s">
        <v>2222</v>
      </c>
      <c r="B48" s="750" t="s">
        <v>2826</v>
      </c>
      <c r="C48" s="1047"/>
      <c r="D48" s="751" t="s">
        <v>18</v>
      </c>
      <c r="E48" s="695"/>
      <c r="F48" s="695"/>
      <c r="G48" s="695"/>
      <c r="H48" s="695"/>
      <c r="I48" s="695"/>
      <c r="J48" s="695"/>
      <c r="K48" s="695"/>
      <c r="L48" s="695"/>
      <c r="M48" s="695"/>
      <c r="N48" s="695"/>
      <c r="O48" s="695"/>
      <c r="P48" s="695"/>
      <c r="Q48" s="695"/>
      <c r="R48" s="695"/>
      <c r="S48" s="695"/>
      <c r="T48" s="695"/>
      <c r="U48" s="695">
        <v>1</v>
      </c>
      <c r="V48" s="622">
        <f t="shared" si="10"/>
        <v>1</v>
      </c>
      <c r="W48" s="767"/>
      <c r="X48" s="766">
        <f t="shared" si="11"/>
        <v>0</v>
      </c>
      <c r="Y48" s="663"/>
      <c r="Z48" s="663"/>
      <c r="AA48" s="663"/>
      <c r="AB48" s="663"/>
      <c r="AC48" s="663"/>
      <c r="AD48" s="663"/>
      <c r="AE48" s="663"/>
      <c r="AF48" s="663"/>
      <c r="AG48" s="663"/>
      <c r="AH48" s="663"/>
      <c r="AI48" s="663"/>
      <c r="AJ48" s="663"/>
      <c r="AK48" s="663"/>
      <c r="AL48" s="663"/>
      <c r="AM48" s="663"/>
      <c r="AN48" s="663"/>
      <c r="AO48" s="663"/>
      <c r="AP48" s="663"/>
      <c r="AQ48" s="663"/>
      <c r="AR48" s="663"/>
      <c r="AS48" s="663"/>
      <c r="AT48" s="663"/>
      <c r="AU48" s="663"/>
      <c r="AV48" s="663"/>
      <c r="AW48" s="663"/>
      <c r="AX48" s="663"/>
      <c r="AY48" s="663"/>
      <c r="AZ48" s="663"/>
      <c r="BA48" s="663"/>
      <c r="BB48" s="663"/>
      <c r="BC48" s="663"/>
      <c r="BD48" s="663"/>
      <c r="BE48" s="663"/>
      <c r="BF48" s="663"/>
      <c r="BG48" s="663"/>
      <c r="BH48" s="663"/>
      <c r="BI48" s="663"/>
      <c r="BJ48" s="663"/>
      <c r="BK48" s="663"/>
      <c r="BL48" s="663"/>
      <c r="BM48" s="663"/>
      <c r="BN48" s="663"/>
      <c r="BO48" s="663"/>
      <c r="BP48" s="663"/>
      <c r="BQ48" s="663"/>
      <c r="BR48" s="663"/>
      <c r="BS48" s="663"/>
      <c r="BT48" s="663"/>
      <c r="BU48" s="663"/>
      <c r="BV48" s="663"/>
      <c r="BW48" s="663"/>
      <c r="BX48" s="663"/>
      <c r="BY48" s="663"/>
      <c r="BZ48" s="663"/>
      <c r="CA48" s="663"/>
      <c r="CB48" s="663"/>
      <c r="CC48" s="663"/>
      <c r="CD48" s="663"/>
      <c r="CE48" s="663"/>
      <c r="CF48" s="663"/>
      <c r="CG48" s="663"/>
      <c r="CH48" s="663"/>
      <c r="CI48" s="663"/>
      <c r="CJ48" s="663"/>
      <c r="CK48" s="663"/>
      <c r="CL48" s="663"/>
    </row>
    <row r="49" spans="1:90" s="603" customFormat="1">
      <c r="A49" s="749" t="s">
        <v>2223</v>
      </c>
      <c r="B49" s="747" t="s">
        <v>1311</v>
      </c>
      <c r="C49" s="1047"/>
      <c r="D49" s="746" t="s">
        <v>18</v>
      </c>
      <c r="E49" s="695"/>
      <c r="F49" s="695"/>
      <c r="G49" s="695"/>
      <c r="H49" s="695"/>
      <c r="I49" s="695"/>
      <c r="J49" s="695"/>
      <c r="K49" s="695"/>
      <c r="L49" s="695"/>
      <c r="M49" s="695"/>
      <c r="N49" s="695"/>
      <c r="O49" s="695"/>
      <c r="P49" s="695"/>
      <c r="Q49" s="695"/>
      <c r="R49" s="695"/>
      <c r="S49" s="695"/>
      <c r="T49" s="695"/>
      <c r="U49" s="695">
        <v>1</v>
      </c>
      <c r="V49" s="622">
        <f t="shared" ref="V49" si="12">SUM(E49:U49)</f>
        <v>1</v>
      </c>
      <c r="W49" s="767"/>
      <c r="X49" s="766">
        <f t="shared" ref="X49" si="13">V49*W49</f>
        <v>0</v>
      </c>
      <c r="Y49" s="663"/>
      <c r="Z49" s="663"/>
      <c r="AA49" s="663"/>
      <c r="AB49" s="663"/>
      <c r="AC49" s="663"/>
      <c r="AD49" s="663"/>
      <c r="AE49" s="663"/>
      <c r="AF49" s="663"/>
      <c r="AG49" s="663"/>
      <c r="AH49" s="663"/>
      <c r="AI49" s="663"/>
      <c r="AJ49" s="663"/>
      <c r="AK49" s="663"/>
      <c r="AL49" s="663"/>
      <c r="AM49" s="663"/>
      <c r="AN49" s="663"/>
      <c r="AO49" s="663"/>
      <c r="AP49" s="663"/>
      <c r="AQ49" s="663"/>
      <c r="AR49" s="663"/>
      <c r="AS49" s="663"/>
      <c r="AT49" s="663"/>
      <c r="AU49" s="663"/>
      <c r="AV49" s="663"/>
      <c r="AW49" s="663"/>
      <c r="AX49" s="663"/>
      <c r="AY49" s="663"/>
      <c r="AZ49" s="663"/>
      <c r="BA49" s="663"/>
      <c r="BB49" s="663"/>
      <c r="BC49" s="663"/>
      <c r="BD49" s="663"/>
      <c r="BE49" s="663"/>
      <c r="BF49" s="663"/>
      <c r="BG49" s="663"/>
      <c r="BH49" s="663"/>
      <c r="BI49" s="663"/>
      <c r="BJ49" s="663"/>
      <c r="BK49" s="663"/>
      <c r="BL49" s="663"/>
      <c r="BM49" s="663"/>
      <c r="BN49" s="663"/>
      <c r="BO49" s="663"/>
      <c r="BP49" s="663"/>
      <c r="BQ49" s="663"/>
      <c r="BR49" s="663"/>
      <c r="BS49" s="663"/>
      <c r="BT49" s="663"/>
      <c r="BU49" s="663"/>
      <c r="BV49" s="663"/>
      <c r="BW49" s="663"/>
      <c r="BX49" s="663"/>
      <c r="BY49" s="663"/>
      <c r="BZ49" s="663"/>
      <c r="CA49" s="663"/>
      <c r="CB49" s="663"/>
      <c r="CC49" s="663"/>
      <c r="CD49" s="663"/>
      <c r="CE49" s="663"/>
      <c r="CF49" s="663"/>
      <c r="CG49" s="663"/>
      <c r="CH49" s="663"/>
      <c r="CI49" s="663"/>
      <c r="CJ49" s="663"/>
      <c r="CK49" s="663"/>
      <c r="CL49" s="663"/>
    </row>
    <row r="50" spans="1:90">
      <c r="A50" s="732" t="s">
        <v>2224</v>
      </c>
      <c r="B50" s="731" t="s">
        <v>1312</v>
      </c>
      <c r="C50" s="689" t="s">
        <v>2846</v>
      </c>
      <c r="D50" s="689"/>
      <c r="E50" s="695"/>
      <c r="F50" s="695"/>
      <c r="G50" s="695"/>
      <c r="H50" s="695"/>
      <c r="I50" s="695"/>
      <c r="J50" s="695"/>
      <c r="K50" s="695"/>
      <c r="L50" s="695"/>
      <c r="M50" s="695"/>
      <c r="N50" s="695"/>
      <c r="O50" s="695"/>
      <c r="P50" s="695"/>
      <c r="Q50" s="695"/>
      <c r="R50" s="695"/>
      <c r="S50" s="695"/>
      <c r="T50" s="695"/>
      <c r="U50" s="695"/>
      <c r="V50" s="622"/>
      <c r="W50" s="622"/>
      <c r="X50" s="710"/>
    </row>
    <row r="51" spans="1:90" s="603" customFormat="1">
      <c r="A51" s="749" t="s">
        <v>2225</v>
      </c>
      <c r="B51" s="747" t="s">
        <v>1173</v>
      </c>
      <c r="C51" s="1048"/>
      <c r="D51" s="746" t="s">
        <v>233</v>
      </c>
      <c r="E51" s="695"/>
      <c r="F51" s="695"/>
      <c r="G51" s="695"/>
      <c r="H51" s="695"/>
      <c r="I51" s="695"/>
      <c r="J51" s="695"/>
      <c r="K51" s="695"/>
      <c r="L51" s="695"/>
      <c r="M51" s="695"/>
      <c r="N51" s="695"/>
      <c r="O51" s="695"/>
      <c r="P51" s="695"/>
      <c r="Q51" s="695"/>
      <c r="R51" s="695"/>
      <c r="S51" s="695"/>
      <c r="T51" s="695"/>
      <c r="U51" s="695">
        <v>2</v>
      </c>
      <c r="V51" s="622">
        <f t="shared" ref="V51" si="14">SUM(E51:U51)</f>
        <v>2</v>
      </c>
      <c r="W51" s="767"/>
      <c r="X51" s="766">
        <f t="shared" ref="X51" si="15">V51*W51</f>
        <v>0</v>
      </c>
      <c r="Y51" s="663"/>
      <c r="Z51" s="663"/>
      <c r="AA51" s="663"/>
      <c r="AB51" s="663"/>
      <c r="AC51" s="663"/>
      <c r="AD51" s="663"/>
      <c r="AE51" s="663"/>
      <c r="AF51" s="663"/>
      <c r="AG51" s="663"/>
      <c r="AH51" s="663"/>
      <c r="AI51" s="663"/>
      <c r="AJ51" s="663"/>
      <c r="AK51" s="663"/>
      <c r="AL51" s="663"/>
      <c r="AM51" s="663"/>
      <c r="AN51" s="663"/>
      <c r="AO51" s="663"/>
      <c r="AP51" s="663"/>
      <c r="AQ51" s="663"/>
      <c r="AR51" s="663"/>
      <c r="AS51" s="663"/>
      <c r="AT51" s="663"/>
      <c r="AU51" s="663"/>
      <c r="AV51" s="663"/>
      <c r="AW51" s="663"/>
      <c r="AX51" s="663"/>
      <c r="AY51" s="663"/>
      <c r="AZ51" s="663"/>
      <c r="BA51" s="663"/>
      <c r="BB51" s="663"/>
      <c r="BC51" s="663"/>
      <c r="BD51" s="663"/>
      <c r="BE51" s="663"/>
      <c r="BF51" s="663"/>
      <c r="BG51" s="663"/>
      <c r="BH51" s="663"/>
      <c r="BI51" s="663"/>
      <c r="BJ51" s="663"/>
      <c r="BK51" s="663"/>
      <c r="BL51" s="663"/>
      <c r="BM51" s="663"/>
      <c r="BN51" s="663"/>
      <c r="BO51" s="663"/>
      <c r="BP51" s="663"/>
      <c r="BQ51" s="663"/>
      <c r="BR51" s="663"/>
      <c r="BS51" s="663"/>
      <c r="BT51" s="663"/>
      <c r="BU51" s="663"/>
      <c r="BV51" s="663"/>
      <c r="BW51" s="663"/>
      <c r="BX51" s="663"/>
      <c r="BY51" s="663"/>
      <c r="BZ51" s="663"/>
      <c r="CA51" s="663"/>
      <c r="CB51" s="663"/>
      <c r="CC51" s="663"/>
      <c r="CD51" s="663"/>
      <c r="CE51" s="663"/>
      <c r="CF51" s="663"/>
      <c r="CG51" s="663"/>
      <c r="CH51" s="663"/>
      <c r="CI51" s="663"/>
      <c r="CJ51" s="663"/>
      <c r="CK51" s="663"/>
      <c r="CL51" s="663"/>
    </row>
    <row r="52" spans="1:90">
      <c r="A52" s="732" t="s">
        <v>2226</v>
      </c>
      <c r="B52" s="1040" t="s">
        <v>1316</v>
      </c>
      <c r="C52" s="734"/>
      <c r="D52" s="689"/>
      <c r="E52" s="695"/>
      <c r="F52" s="695"/>
      <c r="G52" s="695"/>
      <c r="H52" s="695"/>
      <c r="I52" s="695"/>
      <c r="J52" s="695"/>
      <c r="K52" s="695"/>
      <c r="L52" s="695"/>
      <c r="M52" s="695"/>
      <c r="N52" s="695"/>
      <c r="O52" s="695"/>
      <c r="P52" s="695"/>
      <c r="Q52" s="695"/>
      <c r="R52" s="695"/>
      <c r="S52" s="695"/>
      <c r="T52" s="695"/>
      <c r="U52" s="695"/>
      <c r="V52" s="622"/>
      <c r="W52" s="622"/>
      <c r="X52" s="710"/>
    </row>
    <row r="53" spans="1:90" s="603" customFormat="1">
      <c r="A53" s="749" t="s">
        <v>2227</v>
      </c>
      <c r="B53" s="1102" t="s">
        <v>1317</v>
      </c>
      <c r="C53" s="748"/>
      <c r="D53" s="1042" t="s">
        <v>18</v>
      </c>
      <c r="E53" s="695"/>
      <c r="F53" s="695"/>
      <c r="G53" s="695"/>
      <c r="H53" s="695"/>
      <c r="I53" s="695"/>
      <c r="J53" s="695"/>
      <c r="K53" s="695"/>
      <c r="L53" s="695"/>
      <c r="M53" s="695"/>
      <c r="N53" s="695"/>
      <c r="O53" s="695"/>
      <c r="P53" s="695"/>
      <c r="Q53" s="695"/>
      <c r="R53" s="695"/>
      <c r="S53" s="695"/>
      <c r="T53" s="695"/>
      <c r="U53" s="1044">
        <v>2</v>
      </c>
      <c r="V53" s="1045">
        <f t="shared" ref="V53" si="16">SUM(E53:U53)</f>
        <v>2</v>
      </c>
      <c r="W53" s="767"/>
      <c r="X53" s="1046">
        <f t="shared" ref="X53" si="17">V53*W53</f>
        <v>0</v>
      </c>
      <c r="Y53" s="663"/>
      <c r="Z53" s="663"/>
      <c r="AA53" s="663"/>
      <c r="AB53" s="663"/>
      <c r="AC53" s="663"/>
      <c r="AD53" s="663"/>
      <c r="AE53" s="663"/>
      <c r="AF53" s="663"/>
      <c r="AG53" s="663"/>
      <c r="AH53" s="663"/>
      <c r="AI53" s="663"/>
      <c r="AJ53" s="663"/>
      <c r="AK53" s="663"/>
      <c r="AL53" s="663"/>
      <c r="AM53" s="663"/>
      <c r="AN53" s="663"/>
      <c r="AO53" s="663"/>
      <c r="AP53" s="663"/>
      <c r="AQ53" s="663"/>
      <c r="AR53" s="663"/>
      <c r="AS53" s="663"/>
      <c r="AT53" s="663"/>
      <c r="AU53" s="663"/>
      <c r="AV53" s="663"/>
      <c r="AW53" s="663"/>
      <c r="AX53" s="663"/>
      <c r="AY53" s="663"/>
      <c r="AZ53" s="663"/>
      <c r="BA53" s="663"/>
      <c r="BB53" s="663"/>
      <c r="BC53" s="663"/>
      <c r="BD53" s="663"/>
      <c r="BE53" s="663"/>
      <c r="BF53" s="663"/>
      <c r="BG53" s="663"/>
      <c r="BH53" s="663"/>
      <c r="BI53" s="663"/>
      <c r="BJ53" s="663"/>
      <c r="BK53" s="663"/>
      <c r="BL53" s="663"/>
      <c r="BM53" s="663"/>
      <c r="BN53" s="663"/>
      <c r="BO53" s="663"/>
      <c r="BP53" s="663"/>
      <c r="BQ53" s="663"/>
      <c r="BR53" s="663"/>
      <c r="BS53" s="663"/>
      <c r="BT53" s="663"/>
      <c r="BU53" s="663"/>
      <c r="BV53" s="663"/>
      <c r="BW53" s="663"/>
      <c r="BX53" s="663"/>
      <c r="BY53" s="663"/>
      <c r="BZ53" s="663"/>
      <c r="CA53" s="663"/>
      <c r="CB53" s="663"/>
      <c r="CC53" s="663"/>
      <c r="CD53" s="663"/>
      <c r="CE53" s="663"/>
      <c r="CF53" s="663"/>
      <c r="CG53" s="663"/>
      <c r="CH53" s="663"/>
      <c r="CI53" s="663"/>
      <c r="CJ53" s="663"/>
      <c r="CK53" s="663"/>
      <c r="CL53" s="663"/>
    </row>
    <row r="54" spans="1:90" ht="85.5">
      <c r="A54" s="749" t="s">
        <v>2228</v>
      </c>
      <c r="B54" s="747" t="s">
        <v>2847</v>
      </c>
      <c r="C54" s="734"/>
      <c r="D54" s="689"/>
      <c r="E54" s="695"/>
      <c r="F54" s="695"/>
      <c r="G54" s="695"/>
      <c r="H54" s="695"/>
      <c r="I54" s="695"/>
      <c r="J54" s="695"/>
      <c r="K54" s="695"/>
      <c r="L54" s="695"/>
      <c r="M54" s="695"/>
      <c r="N54" s="695"/>
      <c r="O54" s="695"/>
      <c r="P54" s="695"/>
      <c r="Q54" s="695"/>
      <c r="R54" s="695"/>
      <c r="S54" s="695"/>
      <c r="T54" s="695"/>
      <c r="U54" s="1044"/>
      <c r="V54" s="622"/>
      <c r="W54" s="622"/>
      <c r="X54" s="622"/>
    </row>
    <row r="55" spans="1:90">
      <c r="A55" s="732" t="s">
        <v>2229</v>
      </c>
      <c r="B55" s="1043" t="s">
        <v>1289</v>
      </c>
      <c r="C55" s="734"/>
      <c r="D55" s="689"/>
      <c r="E55" s="695"/>
      <c r="F55" s="695"/>
      <c r="G55" s="695"/>
      <c r="H55" s="695"/>
      <c r="I55" s="695"/>
      <c r="J55" s="695"/>
      <c r="K55" s="695"/>
      <c r="L55" s="695"/>
      <c r="M55" s="695"/>
      <c r="N55" s="695"/>
      <c r="O55" s="695"/>
      <c r="P55" s="695"/>
      <c r="Q55" s="695"/>
      <c r="R55" s="695"/>
      <c r="S55" s="695"/>
      <c r="T55" s="695"/>
      <c r="U55" s="695"/>
      <c r="V55" s="622">
        <v>17</v>
      </c>
      <c r="W55" s="767"/>
      <c r="X55" s="766">
        <f t="shared" ref="X55:X56" si="18">V55*W55</f>
        <v>0</v>
      </c>
    </row>
    <row r="56" spans="1:90" ht="99.75" customHeight="1">
      <c r="A56" s="749" t="s">
        <v>2230</v>
      </c>
      <c r="B56" s="747" t="s">
        <v>1174</v>
      </c>
      <c r="C56" s="734"/>
      <c r="D56" s="743" t="s">
        <v>1175</v>
      </c>
      <c r="E56" s="695"/>
      <c r="F56" s="695"/>
      <c r="G56" s="695"/>
      <c r="H56" s="695"/>
      <c r="I56" s="695"/>
      <c r="J56" s="695"/>
      <c r="K56" s="695"/>
      <c r="L56" s="695"/>
      <c r="M56" s="695"/>
      <c r="N56" s="695"/>
      <c r="O56" s="695"/>
      <c r="P56" s="695"/>
      <c r="Q56" s="695"/>
      <c r="R56" s="695"/>
      <c r="S56" s="695"/>
      <c r="T56" s="695"/>
      <c r="U56" s="1044">
        <v>5</v>
      </c>
      <c r="V56" s="622">
        <f t="shared" ref="V55:V56" si="19">SUM(E56:U56)</f>
        <v>5</v>
      </c>
      <c r="W56" s="767"/>
      <c r="X56" s="766">
        <f t="shared" si="18"/>
        <v>0</v>
      </c>
    </row>
    <row r="57" spans="1:90" s="642" customFormat="1">
      <c r="A57" s="696"/>
      <c r="B57" s="697"/>
      <c r="C57" s="650"/>
      <c r="V57" s="779"/>
      <c r="W57" s="779"/>
      <c r="X57" s="779"/>
    </row>
    <row r="58" spans="1:90" s="642" customFormat="1">
      <c r="A58" s="698"/>
      <c r="B58" s="699"/>
      <c r="C58" s="700"/>
      <c r="D58" s="700"/>
      <c r="E58" s="700"/>
      <c r="F58" s="700"/>
      <c r="G58" s="700"/>
      <c r="H58" s="700"/>
      <c r="I58" s="700"/>
      <c r="J58" s="700"/>
      <c r="K58" s="700"/>
      <c r="L58" s="700"/>
      <c r="M58" s="700"/>
      <c r="N58" s="700"/>
      <c r="O58" s="700"/>
      <c r="P58" s="700"/>
      <c r="Q58" s="700"/>
      <c r="R58" s="700"/>
      <c r="S58" s="700"/>
      <c r="T58" s="700"/>
      <c r="U58" s="700"/>
      <c r="V58" s="769"/>
      <c r="W58" s="769"/>
      <c r="X58" s="777"/>
    </row>
    <row r="59" spans="1:90" s="642" customFormat="1">
      <c r="A59" s="698"/>
      <c r="B59" s="699"/>
      <c r="C59" s="700"/>
      <c r="D59" s="700"/>
      <c r="E59" s="700"/>
      <c r="F59" s="700"/>
      <c r="G59" s="700"/>
      <c r="H59" s="700"/>
      <c r="I59" s="700"/>
      <c r="J59" s="700"/>
      <c r="K59" s="700"/>
      <c r="L59" s="700"/>
      <c r="M59" s="700"/>
      <c r="N59" s="700"/>
      <c r="O59" s="700"/>
      <c r="P59" s="700"/>
      <c r="Q59" s="700"/>
      <c r="R59" s="700"/>
      <c r="S59" s="700"/>
      <c r="T59" s="700"/>
      <c r="U59" s="700"/>
      <c r="W59" s="769"/>
      <c r="X59" s="777"/>
    </row>
    <row r="60" spans="1:90" s="642" customFormat="1">
      <c r="A60" s="698"/>
      <c r="B60" s="699"/>
      <c r="C60" s="700"/>
      <c r="D60" s="700"/>
      <c r="E60" s="700"/>
      <c r="F60" s="700"/>
      <c r="G60" s="700"/>
      <c r="H60" s="700"/>
      <c r="I60" s="700"/>
      <c r="J60" s="700"/>
      <c r="K60" s="700"/>
      <c r="L60" s="700"/>
      <c r="M60" s="700"/>
      <c r="N60" s="700"/>
      <c r="O60" s="700"/>
      <c r="P60" s="700"/>
      <c r="Q60" s="700"/>
      <c r="R60" s="700"/>
      <c r="S60" s="700"/>
      <c r="T60" s="700"/>
      <c r="U60" s="700"/>
      <c r="W60" s="769"/>
      <c r="X60" s="777"/>
    </row>
    <row r="61" spans="1:90" s="642" customFormat="1">
      <c r="A61" s="698"/>
      <c r="B61" s="699"/>
      <c r="C61" s="700"/>
      <c r="D61" s="700"/>
      <c r="E61" s="700"/>
      <c r="F61" s="700"/>
      <c r="G61" s="700"/>
      <c r="H61" s="700"/>
      <c r="I61" s="700"/>
      <c r="J61" s="700"/>
      <c r="K61" s="700"/>
      <c r="L61" s="700"/>
      <c r="M61" s="700"/>
      <c r="N61" s="700"/>
      <c r="O61" s="700"/>
      <c r="P61" s="700"/>
      <c r="Q61" s="700"/>
      <c r="R61" s="700"/>
      <c r="S61" s="700"/>
      <c r="T61" s="700"/>
      <c r="U61" s="700"/>
      <c r="W61" s="769"/>
      <c r="X61" s="777"/>
    </row>
    <row r="62" spans="1:90" s="642" customFormat="1">
      <c r="A62" s="698"/>
      <c r="B62" s="699"/>
      <c r="C62" s="700"/>
      <c r="D62" s="700"/>
      <c r="E62" s="700"/>
      <c r="F62" s="700"/>
      <c r="G62" s="700"/>
      <c r="H62" s="700"/>
      <c r="I62" s="700"/>
      <c r="J62" s="700"/>
      <c r="K62" s="700"/>
      <c r="L62" s="700"/>
      <c r="M62" s="700"/>
      <c r="N62" s="700"/>
      <c r="O62" s="700"/>
      <c r="P62" s="700"/>
      <c r="Q62" s="700"/>
      <c r="R62" s="700"/>
      <c r="S62" s="700"/>
      <c r="T62" s="700"/>
      <c r="U62" s="700"/>
      <c r="W62" s="769"/>
      <c r="X62" s="777"/>
    </row>
    <row r="63" spans="1:90" s="642" customFormat="1">
      <c r="A63" s="698"/>
      <c r="B63" s="699"/>
      <c r="C63" s="700"/>
      <c r="D63" s="700"/>
      <c r="E63" s="700"/>
      <c r="F63" s="700"/>
      <c r="G63" s="700"/>
      <c r="H63" s="700"/>
      <c r="I63" s="700"/>
      <c r="J63" s="700"/>
      <c r="K63" s="700"/>
      <c r="L63" s="700"/>
      <c r="M63" s="700"/>
      <c r="N63" s="700"/>
      <c r="O63" s="700"/>
      <c r="P63" s="700"/>
      <c r="Q63" s="700"/>
      <c r="R63" s="700"/>
      <c r="S63" s="700"/>
      <c r="T63" s="700"/>
      <c r="U63" s="700"/>
      <c r="W63" s="769"/>
      <c r="X63" s="777"/>
    </row>
    <row r="64" spans="1:90" s="642" customFormat="1">
      <c r="A64" s="698"/>
      <c r="B64" s="699"/>
      <c r="C64" s="700"/>
      <c r="D64" s="700"/>
      <c r="E64" s="700"/>
      <c r="F64" s="700"/>
      <c r="G64" s="700"/>
      <c r="H64" s="700"/>
      <c r="I64" s="700"/>
      <c r="J64" s="700"/>
      <c r="K64" s="700"/>
      <c r="L64" s="700"/>
      <c r="M64" s="700"/>
      <c r="N64" s="700"/>
      <c r="O64" s="700"/>
      <c r="P64" s="700"/>
      <c r="Q64" s="700"/>
      <c r="R64" s="700"/>
      <c r="S64" s="700"/>
      <c r="T64" s="700"/>
      <c r="U64" s="700"/>
      <c r="W64" s="769"/>
      <c r="X64" s="777"/>
    </row>
    <row r="65" spans="1:24" s="642" customFormat="1">
      <c r="A65" s="698"/>
      <c r="B65" s="699"/>
      <c r="C65" s="700"/>
      <c r="D65" s="700"/>
      <c r="E65" s="700"/>
      <c r="F65" s="700"/>
      <c r="G65" s="700"/>
      <c r="H65" s="700"/>
      <c r="I65" s="700"/>
      <c r="J65" s="700"/>
      <c r="K65" s="700"/>
      <c r="L65" s="700"/>
      <c r="M65" s="700"/>
      <c r="N65" s="700"/>
      <c r="O65" s="700"/>
      <c r="P65" s="700"/>
      <c r="Q65" s="700"/>
      <c r="R65" s="700"/>
      <c r="S65" s="700"/>
      <c r="T65" s="700"/>
      <c r="U65" s="700"/>
      <c r="X65" s="638"/>
    </row>
    <row r="66" spans="1:24" s="642" customFormat="1">
      <c r="A66" s="698"/>
      <c r="B66" s="699"/>
      <c r="C66" s="700"/>
      <c r="D66" s="700"/>
      <c r="E66" s="700"/>
      <c r="F66" s="700"/>
      <c r="G66" s="700"/>
      <c r="H66" s="700"/>
      <c r="I66" s="700"/>
      <c r="J66" s="700"/>
      <c r="K66" s="700"/>
      <c r="L66" s="700"/>
      <c r="M66" s="700"/>
      <c r="N66" s="700"/>
      <c r="O66" s="700"/>
      <c r="P66" s="700"/>
      <c r="Q66" s="700"/>
      <c r="R66" s="700"/>
      <c r="S66" s="700"/>
      <c r="T66" s="700"/>
      <c r="U66" s="700"/>
      <c r="X66" s="638"/>
    </row>
    <row r="67" spans="1:24" s="642" customFormat="1">
      <c r="A67" s="698"/>
      <c r="B67" s="699"/>
      <c r="C67" s="700"/>
      <c r="D67" s="700"/>
      <c r="E67" s="700"/>
      <c r="F67" s="700"/>
      <c r="G67" s="700"/>
      <c r="H67" s="700"/>
      <c r="I67" s="700"/>
      <c r="J67" s="700"/>
      <c r="K67" s="700"/>
      <c r="L67" s="700"/>
      <c r="M67" s="700"/>
      <c r="N67" s="700"/>
      <c r="O67" s="700"/>
      <c r="P67" s="700"/>
      <c r="Q67" s="700"/>
      <c r="R67" s="700"/>
      <c r="S67" s="700"/>
      <c r="T67" s="700"/>
      <c r="U67" s="700"/>
      <c r="X67" s="638"/>
    </row>
    <row r="68" spans="1:24" s="642" customFormat="1">
      <c r="A68" s="698"/>
      <c r="B68" s="699"/>
      <c r="C68" s="700"/>
      <c r="D68" s="700"/>
      <c r="E68" s="700"/>
      <c r="F68" s="700"/>
      <c r="G68" s="700"/>
      <c r="H68" s="700"/>
      <c r="I68" s="700"/>
      <c r="J68" s="700"/>
      <c r="K68" s="700"/>
      <c r="L68" s="700"/>
      <c r="M68" s="700"/>
      <c r="N68" s="700"/>
      <c r="O68" s="700"/>
      <c r="P68" s="700"/>
      <c r="Q68" s="700"/>
      <c r="R68" s="700"/>
      <c r="S68" s="700"/>
      <c r="T68" s="700"/>
      <c r="U68" s="700"/>
      <c r="X68" s="638"/>
    </row>
    <row r="69" spans="1:24" s="642" customFormat="1">
      <c r="A69" s="698"/>
      <c r="B69" s="699"/>
      <c r="C69" s="700"/>
      <c r="D69" s="700"/>
      <c r="E69" s="700"/>
      <c r="F69" s="700"/>
      <c r="G69" s="700"/>
      <c r="H69" s="700"/>
      <c r="I69" s="700"/>
      <c r="J69" s="700"/>
      <c r="K69" s="700"/>
      <c r="L69" s="700"/>
      <c r="M69" s="700"/>
      <c r="N69" s="700"/>
      <c r="O69" s="700"/>
      <c r="P69" s="700"/>
      <c r="Q69" s="700"/>
      <c r="R69" s="700"/>
      <c r="S69" s="700"/>
      <c r="T69" s="700"/>
      <c r="U69" s="700"/>
      <c r="X69" s="638"/>
    </row>
    <row r="70" spans="1:24" s="642" customFormat="1">
      <c r="A70" s="698"/>
      <c r="B70" s="699"/>
      <c r="C70" s="700"/>
      <c r="D70" s="700"/>
      <c r="E70" s="700"/>
      <c r="F70" s="700"/>
      <c r="G70" s="700"/>
      <c r="H70" s="700"/>
      <c r="I70" s="700"/>
      <c r="J70" s="700"/>
      <c r="K70" s="700"/>
      <c r="L70" s="700"/>
      <c r="M70" s="700"/>
      <c r="N70" s="700"/>
      <c r="O70" s="700"/>
      <c r="P70" s="700"/>
      <c r="Q70" s="700"/>
      <c r="R70" s="700"/>
      <c r="S70" s="700"/>
      <c r="T70" s="700"/>
      <c r="U70" s="700"/>
      <c r="X70" s="638"/>
    </row>
    <row r="71" spans="1:24" s="642" customFormat="1">
      <c r="A71" s="698"/>
      <c r="B71" s="699"/>
      <c r="C71" s="700"/>
      <c r="D71" s="700"/>
      <c r="E71" s="700"/>
      <c r="F71" s="700"/>
      <c r="G71" s="700"/>
      <c r="H71" s="700"/>
      <c r="I71" s="700"/>
      <c r="J71" s="700"/>
      <c r="K71" s="700"/>
      <c r="L71" s="700"/>
      <c r="M71" s="700"/>
      <c r="N71" s="700"/>
      <c r="O71" s="700"/>
      <c r="P71" s="700"/>
      <c r="Q71" s="700"/>
      <c r="R71" s="700"/>
      <c r="S71" s="700"/>
      <c r="T71" s="700"/>
      <c r="U71" s="700"/>
      <c r="X71" s="638"/>
    </row>
    <row r="72" spans="1:24" s="642" customFormat="1">
      <c r="A72" s="698"/>
      <c r="B72" s="699"/>
      <c r="C72" s="700"/>
      <c r="D72" s="700"/>
      <c r="E72" s="700"/>
      <c r="F72" s="700"/>
      <c r="G72" s="700"/>
      <c r="H72" s="700"/>
      <c r="I72" s="700"/>
      <c r="J72" s="700"/>
      <c r="K72" s="700"/>
      <c r="L72" s="700"/>
      <c r="M72" s="700"/>
      <c r="N72" s="700"/>
      <c r="O72" s="700"/>
      <c r="P72" s="700"/>
      <c r="Q72" s="700"/>
      <c r="R72" s="700"/>
      <c r="S72" s="700"/>
      <c r="T72" s="700"/>
      <c r="U72" s="700"/>
      <c r="X72" s="638"/>
    </row>
    <row r="73" spans="1:24" s="642" customFormat="1">
      <c r="A73" s="698"/>
      <c r="B73" s="699"/>
      <c r="C73" s="700"/>
      <c r="D73" s="700"/>
      <c r="E73" s="700"/>
      <c r="F73" s="700"/>
      <c r="G73" s="700"/>
      <c r="H73" s="700"/>
      <c r="I73" s="700"/>
      <c r="J73" s="700"/>
      <c r="K73" s="700"/>
      <c r="L73" s="700"/>
      <c r="M73" s="700"/>
      <c r="N73" s="700"/>
      <c r="O73" s="700"/>
      <c r="P73" s="700"/>
      <c r="Q73" s="700"/>
      <c r="R73" s="700"/>
      <c r="S73" s="700"/>
      <c r="T73" s="700"/>
      <c r="U73" s="700"/>
      <c r="X73" s="638"/>
    </row>
    <row r="74" spans="1:24" s="642" customFormat="1">
      <c r="A74" s="698"/>
      <c r="B74" s="699"/>
      <c r="C74" s="700"/>
      <c r="D74" s="700"/>
      <c r="E74" s="700"/>
      <c r="F74" s="700"/>
      <c r="G74" s="700"/>
      <c r="H74" s="700"/>
      <c r="I74" s="700"/>
      <c r="J74" s="700"/>
      <c r="K74" s="700"/>
      <c r="L74" s="700"/>
      <c r="M74" s="700"/>
      <c r="N74" s="700"/>
      <c r="O74" s="700"/>
      <c r="P74" s="700"/>
      <c r="Q74" s="700"/>
      <c r="R74" s="700"/>
      <c r="S74" s="700"/>
      <c r="T74" s="700"/>
      <c r="U74" s="700"/>
      <c r="X74" s="638"/>
    </row>
    <row r="75" spans="1:24" s="642" customFormat="1">
      <c r="A75" s="698"/>
      <c r="B75" s="699"/>
      <c r="C75" s="700"/>
      <c r="D75" s="700"/>
      <c r="E75" s="700"/>
      <c r="F75" s="700"/>
      <c r="G75" s="700"/>
      <c r="H75" s="700"/>
      <c r="I75" s="700"/>
      <c r="J75" s="700"/>
      <c r="K75" s="700"/>
      <c r="L75" s="700"/>
      <c r="M75" s="700"/>
      <c r="N75" s="700"/>
      <c r="O75" s="700"/>
      <c r="P75" s="700"/>
      <c r="Q75" s="700"/>
      <c r="R75" s="700"/>
      <c r="S75" s="700"/>
      <c r="T75" s="700"/>
      <c r="U75" s="700"/>
      <c r="X75" s="638"/>
    </row>
    <row r="76" spans="1:24" s="642" customFormat="1">
      <c r="A76" s="698"/>
      <c r="B76" s="699"/>
      <c r="C76" s="700"/>
      <c r="D76" s="700"/>
      <c r="E76" s="700"/>
      <c r="F76" s="700"/>
      <c r="G76" s="700"/>
      <c r="H76" s="700"/>
      <c r="I76" s="700"/>
      <c r="J76" s="700"/>
      <c r="K76" s="700"/>
      <c r="L76" s="700"/>
      <c r="M76" s="700"/>
      <c r="N76" s="700"/>
      <c r="O76" s="700"/>
      <c r="P76" s="700"/>
      <c r="Q76" s="700"/>
      <c r="R76" s="700"/>
      <c r="S76" s="700"/>
      <c r="T76" s="700"/>
      <c r="U76" s="700"/>
      <c r="X76" s="638"/>
    </row>
    <row r="77" spans="1:24" s="642" customFormat="1">
      <c r="A77" s="698"/>
      <c r="B77" s="699"/>
      <c r="C77" s="700"/>
      <c r="D77" s="700"/>
      <c r="E77" s="700"/>
      <c r="F77" s="700"/>
      <c r="G77" s="700"/>
      <c r="H77" s="700"/>
      <c r="I77" s="700"/>
      <c r="J77" s="700"/>
      <c r="K77" s="700"/>
      <c r="L77" s="700"/>
      <c r="M77" s="700"/>
      <c r="N77" s="700"/>
      <c r="O77" s="700"/>
      <c r="P77" s="700"/>
      <c r="Q77" s="700"/>
      <c r="R77" s="700"/>
      <c r="S77" s="700"/>
      <c r="T77" s="700"/>
      <c r="U77" s="700"/>
      <c r="X77" s="638"/>
    </row>
    <row r="78" spans="1:24" s="642" customFormat="1">
      <c r="A78" s="698"/>
      <c r="B78" s="699"/>
      <c r="C78" s="700"/>
      <c r="D78" s="700"/>
      <c r="E78" s="700"/>
      <c r="F78" s="700"/>
      <c r="G78" s="700"/>
      <c r="H78" s="700"/>
      <c r="I78" s="700"/>
      <c r="J78" s="700"/>
      <c r="K78" s="700"/>
      <c r="L78" s="700"/>
      <c r="M78" s="700"/>
      <c r="N78" s="700"/>
      <c r="O78" s="700"/>
      <c r="P78" s="700"/>
      <c r="Q78" s="700"/>
      <c r="R78" s="700"/>
      <c r="S78" s="700"/>
      <c r="T78" s="700"/>
      <c r="U78" s="700"/>
      <c r="X78" s="638"/>
    </row>
    <row r="79" spans="1:24" s="642" customFormat="1">
      <c r="A79" s="698"/>
      <c r="B79" s="699"/>
      <c r="C79" s="700"/>
      <c r="D79" s="700"/>
      <c r="E79" s="700"/>
      <c r="F79" s="700"/>
      <c r="G79" s="700"/>
      <c r="H79" s="700"/>
      <c r="I79" s="700"/>
      <c r="J79" s="700"/>
      <c r="K79" s="700"/>
      <c r="L79" s="700"/>
      <c r="M79" s="700"/>
      <c r="N79" s="700"/>
      <c r="O79" s="700"/>
      <c r="P79" s="700"/>
      <c r="Q79" s="700"/>
      <c r="R79" s="700"/>
      <c r="S79" s="700"/>
      <c r="T79" s="700"/>
      <c r="U79" s="700"/>
      <c r="X79" s="638"/>
    </row>
    <row r="80" spans="1:24" s="642" customFormat="1">
      <c r="A80" s="698"/>
      <c r="B80" s="699"/>
      <c r="C80" s="700"/>
      <c r="D80" s="700"/>
      <c r="E80" s="700"/>
      <c r="F80" s="700"/>
      <c r="G80" s="700"/>
      <c r="H80" s="700"/>
      <c r="I80" s="700"/>
      <c r="J80" s="700"/>
      <c r="K80" s="700"/>
      <c r="L80" s="700"/>
      <c r="M80" s="700"/>
      <c r="N80" s="700"/>
      <c r="O80" s="700"/>
      <c r="P80" s="700"/>
      <c r="Q80" s="700"/>
      <c r="R80" s="700"/>
      <c r="S80" s="700"/>
      <c r="T80" s="700"/>
      <c r="U80" s="700"/>
      <c r="X80" s="638"/>
    </row>
    <row r="81" spans="1:24" s="642" customFormat="1">
      <c r="A81" s="698"/>
      <c r="B81" s="699"/>
      <c r="C81" s="700"/>
      <c r="D81" s="700"/>
      <c r="E81" s="700"/>
      <c r="F81" s="700"/>
      <c r="G81" s="700"/>
      <c r="H81" s="700"/>
      <c r="I81" s="700"/>
      <c r="J81" s="700"/>
      <c r="K81" s="700"/>
      <c r="L81" s="700"/>
      <c r="M81" s="700"/>
      <c r="N81" s="700"/>
      <c r="O81" s="700"/>
      <c r="P81" s="700"/>
      <c r="Q81" s="700"/>
      <c r="R81" s="700"/>
      <c r="S81" s="700"/>
      <c r="T81" s="700"/>
      <c r="U81" s="700"/>
      <c r="X81" s="638"/>
    </row>
    <row r="82" spans="1:24" s="642" customFormat="1">
      <c r="A82" s="698"/>
      <c r="B82" s="699"/>
      <c r="C82" s="700"/>
      <c r="D82" s="700"/>
      <c r="E82" s="700"/>
      <c r="F82" s="700"/>
      <c r="G82" s="700"/>
      <c r="H82" s="700"/>
      <c r="I82" s="700"/>
      <c r="J82" s="700"/>
      <c r="K82" s="700"/>
      <c r="L82" s="700"/>
      <c r="M82" s="700"/>
      <c r="N82" s="700"/>
      <c r="O82" s="700"/>
      <c r="P82" s="700"/>
      <c r="Q82" s="700"/>
      <c r="R82" s="700"/>
      <c r="S82" s="700"/>
      <c r="T82" s="700"/>
      <c r="U82" s="700"/>
      <c r="X82" s="638"/>
    </row>
    <row r="83" spans="1:24" s="642" customFormat="1">
      <c r="A83" s="698"/>
      <c r="B83" s="699"/>
      <c r="C83" s="700"/>
      <c r="D83" s="700"/>
      <c r="E83" s="700"/>
      <c r="F83" s="700"/>
      <c r="G83" s="700"/>
      <c r="H83" s="700"/>
      <c r="I83" s="700"/>
      <c r="J83" s="700"/>
      <c r="K83" s="700"/>
      <c r="L83" s="700"/>
      <c r="M83" s="700"/>
      <c r="N83" s="700"/>
      <c r="O83" s="700"/>
      <c r="P83" s="700"/>
      <c r="Q83" s="700"/>
      <c r="R83" s="700"/>
      <c r="S83" s="700"/>
      <c r="T83" s="700"/>
      <c r="U83" s="700"/>
      <c r="X83" s="638"/>
    </row>
    <row r="84" spans="1:24" s="642" customFormat="1">
      <c r="A84" s="698"/>
      <c r="B84" s="699"/>
      <c r="C84" s="700"/>
      <c r="D84" s="700"/>
      <c r="E84" s="700"/>
      <c r="F84" s="700"/>
      <c r="G84" s="700"/>
      <c r="H84" s="700"/>
      <c r="I84" s="700"/>
      <c r="J84" s="700"/>
      <c r="K84" s="700"/>
      <c r="L84" s="700"/>
      <c r="M84" s="700"/>
      <c r="N84" s="700"/>
      <c r="O84" s="700"/>
      <c r="P84" s="700"/>
      <c r="Q84" s="700"/>
      <c r="R84" s="700"/>
      <c r="S84" s="700"/>
      <c r="T84" s="700"/>
      <c r="U84" s="700"/>
      <c r="X84" s="638"/>
    </row>
    <row r="85" spans="1:24" s="642" customFormat="1">
      <c r="A85" s="698"/>
      <c r="B85" s="699"/>
      <c r="C85" s="700"/>
      <c r="D85" s="700"/>
      <c r="E85" s="700"/>
      <c r="F85" s="700"/>
      <c r="G85" s="700"/>
      <c r="H85" s="700"/>
      <c r="I85" s="700"/>
      <c r="J85" s="700"/>
      <c r="K85" s="700"/>
      <c r="L85" s="700"/>
      <c r="M85" s="700"/>
      <c r="N85" s="700"/>
      <c r="O85" s="700"/>
      <c r="P85" s="700"/>
      <c r="Q85" s="700"/>
      <c r="R85" s="700"/>
      <c r="S85" s="700"/>
      <c r="T85" s="700"/>
      <c r="U85" s="700"/>
      <c r="X85" s="638"/>
    </row>
    <row r="86" spans="1:24" s="642" customFormat="1">
      <c r="A86" s="698"/>
      <c r="B86" s="699"/>
      <c r="C86" s="700"/>
      <c r="D86" s="700"/>
      <c r="E86" s="700"/>
      <c r="F86" s="700"/>
      <c r="G86" s="700"/>
      <c r="H86" s="700"/>
      <c r="I86" s="700"/>
      <c r="J86" s="700"/>
      <c r="K86" s="700"/>
      <c r="L86" s="700"/>
      <c r="M86" s="700"/>
      <c r="N86" s="700"/>
      <c r="O86" s="700"/>
      <c r="P86" s="700"/>
      <c r="Q86" s="700"/>
      <c r="R86" s="700"/>
      <c r="S86" s="700"/>
      <c r="T86" s="700"/>
      <c r="U86" s="700"/>
      <c r="X86" s="638"/>
    </row>
    <row r="87" spans="1:24" s="642" customFormat="1">
      <c r="A87" s="698"/>
      <c r="B87" s="699"/>
      <c r="C87" s="700"/>
      <c r="D87" s="700"/>
      <c r="E87" s="700"/>
      <c r="F87" s="700"/>
      <c r="G87" s="700"/>
      <c r="H87" s="700"/>
      <c r="I87" s="700"/>
      <c r="J87" s="700"/>
      <c r="K87" s="700"/>
      <c r="L87" s="700"/>
      <c r="M87" s="700"/>
      <c r="N87" s="700"/>
      <c r="O87" s="700"/>
      <c r="P87" s="700"/>
      <c r="Q87" s="700"/>
      <c r="R87" s="700"/>
      <c r="S87" s="700"/>
      <c r="T87" s="700"/>
      <c r="U87" s="700"/>
      <c r="X87" s="638"/>
    </row>
    <row r="88" spans="1:24" s="642" customFormat="1">
      <c r="A88" s="698"/>
      <c r="B88" s="699"/>
      <c r="C88" s="700"/>
      <c r="D88" s="700"/>
      <c r="E88" s="700"/>
      <c r="F88" s="700"/>
      <c r="G88" s="700"/>
      <c r="H88" s="700"/>
      <c r="I88" s="700"/>
      <c r="J88" s="700"/>
      <c r="K88" s="700"/>
      <c r="L88" s="700"/>
      <c r="M88" s="700"/>
      <c r="N88" s="700"/>
      <c r="O88" s="700"/>
      <c r="P88" s="700"/>
      <c r="Q88" s="700"/>
      <c r="R88" s="700"/>
      <c r="S88" s="700"/>
      <c r="T88" s="700"/>
      <c r="U88" s="700"/>
      <c r="X88" s="638"/>
    </row>
    <row r="89" spans="1:24" s="642" customFormat="1">
      <c r="A89" s="698"/>
      <c r="B89" s="699"/>
      <c r="C89" s="700"/>
      <c r="D89" s="700"/>
      <c r="E89" s="700"/>
      <c r="F89" s="700"/>
      <c r="G89" s="700"/>
      <c r="H89" s="700"/>
      <c r="I89" s="700"/>
      <c r="J89" s="700"/>
      <c r="K89" s="700"/>
      <c r="L89" s="700"/>
      <c r="M89" s="700"/>
      <c r="N89" s="700"/>
      <c r="O89" s="700"/>
      <c r="P89" s="700"/>
      <c r="Q89" s="700"/>
      <c r="R89" s="700"/>
      <c r="S89" s="700"/>
      <c r="T89" s="700"/>
      <c r="U89" s="700"/>
      <c r="X89" s="638"/>
    </row>
    <row r="90" spans="1:24" s="642" customFormat="1">
      <c r="A90" s="698"/>
      <c r="B90" s="699"/>
      <c r="C90" s="700"/>
      <c r="D90" s="700"/>
      <c r="E90" s="700"/>
      <c r="F90" s="700"/>
      <c r="G90" s="700"/>
      <c r="H90" s="700"/>
      <c r="I90" s="700"/>
      <c r="J90" s="700"/>
      <c r="K90" s="700"/>
      <c r="L90" s="700"/>
      <c r="M90" s="700"/>
      <c r="N90" s="700"/>
      <c r="O90" s="700"/>
      <c r="P90" s="700"/>
      <c r="Q90" s="700"/>
      <c r="R90" s="700"/>
      <c r="S90" s="700"/>
      <c r="T90" s="700"/>
      <c r="U90" s="700"/>
      <c r="X90" s="638"/>
    </row>
    <row r="91" spans="1:24" s="642" customFormat="1">
      <c r="A91" s="698"/>
      <c r="B91" s="699"/>
      <c r="C91" s="700"/>
      <c r="D91" s="700"/>
      <c r="E91" s="700"/>
      <c r="F91" s="700"/>
      <c r="G91" s="700"/>
      <c r="H91" s="700"/>
      <c r="I91" s="700"/>
      <c r="J91" s="700"/>
      <c r="K91" s="700"/>
      <c r="L91" s="700"/>
      <c r="M91" s="700"/>
      <c r="N91" s="700"/>
      <c r="O91" s="700"/>
      <c r="P91" s="700"/>
      <c r="Q91" s="700"/>
      <c r="R91" s="700"/>
      <c r="S91" s="700"/>
      <c r="T91" s="700"/>
      <c r="U91" s="700"/>
      <c r="X91" s="638"/>
    </row>
    <row r="92" spans="1:24" s="642" customFormat="1">
      <c r="A92" s="698"/>
      <c r="B92" s="699"/>
      <c r="C92" s="700"/>
      <c r="D92" s="700"/>
      <c r="E92" s="700"/>
      <c r="F92" s="700"/>
      <c r="G92" s="700"/>
      <c r="H92" s="700"/>
      <c r="I92" s="700"/>
      <c r="J92" s="700"/>
      <c r="K92" s="700"/>
      <c r="L92" s="700"/>
      <c r="M92" s="700"/>
      <c r="N92" s="700"/>
      <c r="O92" s="700"/>
      <c r="P92" s="700"/>
      <c r="Q92" s="700"/>
      <c r="R92" s="700"/>
      <c r="S92" s="700"/>
      <c r="T92" s="700"/>
      <c r="U92" s="700"/>
      <c r="X92" s="638"/>
    </row>
    <row r="93" spans="1:24" s="642" customFormat="1">
      <c r="A93" s="698"/>
      <c r="B93" s="699"/>
      <c r="C93" s="700"/>
      <c r="D93" s="700"/>
      <c r="E93" s="700"/>
      <c r="F93" s="700"/>
      <c r="G93" s="700"/>
      <c r="H93" s="700"/>
      <c r="I93" s="700"/>
      <c r="J93" s="700"/>
      <c r="K93" s="700"/>
      <c r="L93" s="700"/>
      <c r="M93" s="700"/>
      <c r="N93" s="700"/>
      <c r="O93" s="700"/>
      <c r="P93" s="700"/>
      <c r="Q93" s="700"/>
      <c r="R93" s="700"/>
      <c r="S93" s="700"/>
      <c r="T93" s="700"/>
      <c r="U93" s="700"/>
      <c r="X93" s="638"/>
    </row>
    <row r="94" spans="1:24" s="642" customFormat="1">
      <c r="A94" s="698"/>
      <c r="B94" s="699"/>
      <c r="C94" s="700"/>
      <c r="D94" s="700"/>
      <c r="E94" s="700"/>
      <c r="F94" s="700"/>
      <c r="G94" s="700"/>
      <c r="H94" s="700"/>
      <c r="I94" s="700"/>
      <c r="J94" s="700"/>
      <c r="K94" s="700"/>
      <c r="L94" s="700"/>
      <c r="M94" s="700"/>
      <c r="N94" s="700"/>
      <c r="O94" s="700"/>
      <c r="P94" s="700"/>
      <c r="Q94" s="700"/>
      <c r="R94" s="700"/>
      <c r="S94" s="700"/>
      <c r="T94" s="700"/>
      <c r="U94" s="700"/>
      <c r="X94" s="638"/>
    </row>
    <row r="95" spans="1:24" s="642" customFormat="1">
      <c r="A95" s="698"/>
      <c r="B95" s="699"/>
      <c r="C95" s="700"/>
      <c r="D95" s="700"/>
      <c r="E95" s="700"/>
      <c r="F95" s="700"/>
      <c r="G95" s="700"/>
      <c r="H95" s="700"/>
      <c r="I95" s="700"/>
      <c r="J95" s="700"/>
      <c r="K95" s="700"/>
      <c r="L95" s="700"/>
      <c r="M95" s="700"/>
      <c r="N95" s="700"/>
      <c r="O95" s="700"/>
      <c r="P95" s="700"/>
      <c r="Q95" s="700"/>
      <c r="R95" s="700"/>
      <c r="S95" s="700"/>
      <c r="T95" s="700"/>
      <c r="U95" s="700"/>
      <c r="X95" s="638"/>
    </row>
    <row r="96" spans="1:24" s="642" customFormat="1">
      <c r="A96" s="698"/>
      <c r="B96" s="699"/>
      <c r="C96" s="700"/>
      <c r="D96" s="700"/>
      <c r="E96" s="700"/>
      <c r="F96" s="700"/>
      <c r="G96" s="700"/>
      <c r="H96" s="700"/>
      <c r="I96" s="700"/>
      <c r="J96" s="700"/>
      <c r="K96" s="700"/>
      <c r="L96" s="700"/>
      <c r="M96" s="700"/>
      <c r="N96" s="700"/>
      <c r="O96" s="700"/>
      <c r="P96" s="700"/>
      <c r="Q96" s="700"/>
      <c r="R96" s="700"/>
      <c r="S96" s="700"/>
      <c r="T96" s="700"/>
      <c r="U96" s="700"/>
      <c r="X96" s="638"/>
    </row>
    <row r="97" spans="1:24" s="642" customFormat="1">
      <c r="A97" s="698"/>
      <c r="B97" s="699"/>
      <c r="C97" s="700"/>
      <c r="D97" s="700"/>
      <c r="E97" s="700"/>
      <c r="F97" s="700"/>
      <c r="G97" s="700"/>
      <c r="H97" s="700"/>
      <c r="I97" s="700"/>
      <c r="J97" s="700"/>
      <c r="K97" s="700"/>
      <c r="L97" s="700"/>
      <c r="M97" s="700"/>
      <c r="N97" s="700"/>
      <c r="O97" s="700"/>
      <c r="P97" s="700"/>
      <c r="Q97" s="700"/>
      <c r="R97" s="700"/>
      <c r="S97" s="700"/>
      <c r="T97" s="700"/>
      <c r="U97" s="700"/>
      <c r="X97" s="638"/>
    </row>
    <row r="98" spans="1:24" s="642" customFormat="1">
      <c r="A98" s="698"/>
      <c r="B98" s="699"/>
      <c r="C98" s="700"/>
      <c r="D98" s="700"/>
      <c r="E98" s="700"/>
      <c r="F98" s="700"/>
      <c r="G98" s="700"/>
      <c r="H98" s="700"/>
      <c r="I98" s="700"/>
      <c r="J98" s="700"/>
      <c r="K98" s="700"/>
      <c r="L98" s="700"/>
      <c r="M98" s="700"/>
      <c r="N98" s="700"/>
      <c r="O98" s="700"/>
      <c r="P98" s="700"/>
      <c r="Q98" s="700"/>
      <c r="R98" s="700"/>
      <c r="S98" s="700"/>
      <c r="T98" s="700"/>
      <c r="U98" s="700"/>
      <c r="X98" s="638"/>
    </row>
    <row r="99" spans="1:24" s="642" customFormat="1">
      <c r="A99" s="698"/>
      <c r="B99" s="699"/>
      <c r="C99" s="700"/>
      <c r="D99" s="700"/>
      <c r="E99" s="700"/>
      <c r="F99" s="700"/>
      <c r="G99" s="700"/>
      <c r="H99" s="700"/>
      <c r="I99" s="700"/>
      <c r="J99" s="700"/>
      <c r="K99" s="700"/>
      <c r="L99" s="700"/>
      <c r="M99" s="700"/>
      <c r="N99" s="700"/>
      <c r="O99" s="700"/>
      <c r="P99" s="700"/>
      <c r="Q99" s="700"/>
      <c r="R99" s="700"/>
      <c r="S99" s="700"/>
      <c r="T99" s="700"/>
      <c r="U99" s="700"/>
      <c r="X99" s="638"/>
    </row>
    <row r="100" spans="1:24" s="642" customFormat="1">
      <c r="A100" s="698"/>
      <c r="B100" s="699"/>
      <c r="C100" s="700"/>
      <c r="D100" s="700"/>
      <c r="E100" s="700"/>
      <c r="F100" s="700"/>
      <c r="G100" s="700"/>
      <c r="H100" s="700"/>
      <c r="I100" s="700"/>
      <c r="J100" s="700"/>
      <c r="K100" s="700"/>
      <c r="L100" s="700"/>
      <c r="M100" s="700"/>
      <c r="N100" s="700"/>
      <c r="O100" s="700"/>
      <c r="P100" s="700"/>
      <c r="Q100" s="700"/>
      <c r="R100" s="700"/>
      <c r="S100" s="700"/>
      <c r="T100" s="700"/>
      <c r="U100" s="700"/>
      <c r="X100" s="638"/>
    </row>
    <row r="101" spans="1:24" s="642" customFormat="1">
      <c r="A101" s="698"/>
      <c r="B101" s="699"/>
      <c r="C101" s="700"/>
      <c r="D101" s="700"/>
      <c r="E101" s="700"/>
      <c r="F101" s="700"/>
      <c r="G101" s="700"/>
      <c r="H101" s="700"/>
      <c r="I101" s="700"/>
      <c r="J101" s="700"/>
      <c r="K101" s="700"/>
      <c r="L101" s="700"/>
      <c r="M101" s="700"/>
      <c r="N101" s="700"/>
      <c r="O101" s="700"/>
      <c r="P101" s="700"/>
      <c r="Q101" s="700"/>
      <c r="R101" s="700"/>
      <c r="S101" s="700"/>
      <c r="T101" s="700"/>
      <c r="U101" s="700"/>
      <c r="X101" s="638"/>
    </row>
    <row r="102" spans="1:24" s="642" customFormat="1">
      <c r="A102" s="698"/>
      <c r="B102" s="699"/>
      <c r="C102" s="700"/>
      <c r="D102" s="700"/>
      <c r="E102" s="700"/>
      <c r="F102" s="700"/>
      <c r="G102" s="700"/>
      <c r="H102" s="700"/>
      <c r="I102" s="700"/>
      <c r="J102" s="700"/>
      <c r="K102" s="700"/>
      <c r="L102" s="700"/>
      <c r="M102" s="700"/>
      <c r="N102" s="700"/>
      <c r="O102" s="700"/>
      <c r="P102" s="700"/>
      <c r="Q102" s="700"/>
      <c r="R102" s="700"/>
      <c r="S102" s="700"/>
      <c r="T102" s="700"/>
      <c r="U102" s="700"/>
      <c r="X102" s="638"/>
    </row>
    <row r="103" spans="1:24" s="642" customFormat="1">
      <c r="A103" s="698"/>
      <c r="B103" s="699"/>
      <c r="C103" s="700"/>
      <c r="D103" s="700"/>
      <c r="E103" s="700"/>
      <c r="F103" s="700"/>
      <c r="G103" s="700"/>
      <c r="H103" s="700"/>
      <c r="I103" s="700"/>
      <c r="J103" s="700"/>
      <c r="K103" s="700"/>
      <c r="L103" s="700"/>
      <c r="M103" s="700"/>
      <c r="N103" s="700"/>
      <c r="O103" s="700"/>
      <c r="P103" s="700"/>
      <c r="Q103" s="700"/>
      <c r="R103" s="700"/>
      <c r="S103" s="700"/>
      <c r="T103" s="700"/>
      <c r="U103" s="700"/>
      <c r="X103" s="638"/>
    </row>
    <row r="104" spans="1:24" s="642" customFormat="1">
      <c r="A104" s="698"/>
      <c r="B104" s="699"/>
      <c r="C104" s="700"/>
      <c r="D104" s="700"/>
      <c r="E104" s="700"/>
      <c r="F104" s="700"/>
      <c r="G104" s="700"/>
      <c r="H104" s="700"/>
      <c r="I104" s="700"/>
      <c r="J104" s="700"/>
      <c r="K104" s="700"/>
      <c r="L104" s="700"/>
      <c r="M104" s="700"/>
      <c r="N104" s="700"/>
      <c r="O104" s="700"/>
      <c r="P104" s="700"/>
      <c r="Q104" s="700"/>
      <c r="R104" s="700"/>
      <c r="S104" s="700"/>
      <c r="T104" s="700"/>
      <c r="U104" s="700"/>
      <c r="X104" s="638"/>
    </row>
    <row r="105" spans="1:24" s="642" customFormat="1">
      <c r="A105" s="698"/>
      <c r="B105" s="699"/>
      <c r="C105" s="700"/>
      <c r="D105" s="700"/>
      <c r="E105" s="700"/>
      <c r="F105" s="700"/>
      <c r="G105" s="700"/>
      <c r="H105" s="700"/>
      <c r="I105" s="700"/>
      <c r="J105" s="700"/>
      <c r="K105" s="700"/>
      <c r="L105" s="700"/>
      <c r="M105" s="700"/>
      <c r="N105" s="700"/>
      <c r="O105" s="700"/>
      <c r="P105" s="700"/>
      <c r="Q105" s="700"/>
      <c r="R105" s="700"/>
      <c r="S105" s="700"/>
      <c r="T105" s="700"/>
      <c r="U105" s="700"/>
      <c r="X105" s="638"/>
    </row>
    <row r="106" spans="1:24" s="642" customFormat="1">
      <c r="A106" s="698"/>
      <c r="B106" s="699"/>
      <c r="C106" s="700"/>
      <c r="D106" s="700"/>
      <c r="E106" s="700"/>
      <c r="F106" s="700"/>
      <c r="G106" s="700"/>
      <c r="H106" s="700"/>
      <c r="I106" s="700"/>
      <c r="J106" s="700"/>
      <c r="K106" s="700"/>
      <c r="L106" s="700"/>
      <c r="M106" s="700"/>
      <c r="N106" s="700"/>
      <c r="O106" s="700"/>
      <c r="P106" s="700"/>
      <c r="Q106" s="700"/>
      <c r="R106" s="700"/>
      <c r="S106" s="700"/>
      <c r="T106" s="700"/>
      <c r="U106" s="700"/>
      <c r="X106" s="638"/>
    </row>
    <row r="107" spans="1:24" s="642" customFormat="1">
      <c r="A107" s="698"/>
      <c r="B107" s="699"/>
      <c r="C107" s="700"/>
      <c r="D107" s="700"/>
      <c r="E107" s="700"/>
      <c r="F107" s="700"/>
      <c r="G107" s="700"/>
      <c r="H107" s="700"/>
      <c r="I107" s="700"/>
      <c r="J107" s="700"/>
      <c r="K107" s="700"/>
      <c r="L107" s="700"/>
      <c r="M107" s="700"/>
      <c r="N107" s="700"/>
      <c r="O107" s="700"/>
      <c r="P107" s="700"/>
      <c r="Q107" s="700"/>
      <c r="R107" s="700"/>
      <c r="S107" s="700"/>
      <c r="T107" s="700"/>
      <c r="U107" s="700"/>
      <c r="X107" s="638"/>
    </row>
    <row r="108" spans="1:24" s="642" customFormat="1">
      <c r="A108" s="698"/>
      <c r="B108" s="699"/>
      <c r="C108" s="700"/>
      <c r="D108" s="700"/>
      <c r="E108" s="700"/>
      <c r="F108" s="700"/>
      <c r="G108" s="700"/>
      <c r="H108" s="700"/>
      <c r="I108" s="700"/>
      <c r="J108" s="700"/>
      <c r="K108" s="700"/>
      <c r="L108" s="700"/>
      <c r="M108" s="700"/>
      <c r="N108" s="700"/>
      <c r="O108" s="700"/>
      <c r="P108" s="700"/>
      <c r="Q108" s="700"/>
      <c r="R108" s="700"/>
      <c r="S108" s="700"/>
      <c r="T108" s="700"/>
      <c r="U108" s="700"/>
      <c r="X108" s="638"/>
    </row>
    <row r="109" spans="1:24" s="642" customFormat="1">
      <c r="A109" s="698"/>
      <c r="B109" s="699"/>
      <c r="C109" s="700"/>
      <c r="D109" s="700"/>
      <c r="E109" s="700"/>
      <c r="F109" s="700"/>
      <c r="G109" s="700"/>
      <c r="H109" s="700"/>
      <c r="I109" s="700"/>
      <c r="J109" s="700"/>
      <c r="K109" s="700"/>
      <c r="L109" s="700"/>
      <c r="M109" s="700"/>
      <c r="N109" s="700"/>
      <c r="O109" s="700"/>
      <c r="P109" s="700"/>
      <c r="Q109" s="700"/>
      <c r="R109" s="700"/>
      <c r="S109" s="700"/>
      <c r="T109" s="700"/>
      <c r="U109" s="700"/>
      <c r="X109" s="638"/>
    </row>
    <row r="110" spans="1:24" s="642" customFormat="1">
      <c r="A110" s="698"/>
      <c r="B110" s="699"/>
      <c r="C110" s="700"/>
      <c r="D110" s="700"/>
      <c r="E110" s="700"/>
      <c r="F110" s="700"/>
      <c r="G110" s="700"/>
      <c r="H110" s="700"/>
      <c r="I110" s="700"/>
      <c r="J110" s="700"/>
      <c r="K110" s="700"/>
      <c r="L110" s="700"/>
      <c r="M110" s="700"/>
      <c r="N110" s="700"/>
      <c r="O110" s="700"/>
      <c r="P110" s="700"/>
      <c r="Q110" s="700"/>
      <c r="R110" s="700"/>
      <c r="S110" s="700"/>
      <c r="T110" s="700"/>
      <c r="U110" s="700"/>
      <c r="X110" s="638"/>
    </row>
    <row r="111" spans="1:24" s="642" customFormat="1">
      <c r="A111" s="698"/>
      <c r="B111" s="699"/>
      <c r="C111" s="700"/>
      <c r="D111" s="700"/>
      <c r="E111" s="700"/>
      <c r="F111" s="700"/>
      <c r="G111" s="700"/>
      <c r="H111" s="700"/>
      <c r="I111" s="700"/>
      <c r="J111" s="700"/>
      <c r="K111" s="700"/>
      <c r="L111" s="700"/>
      <c r="M111" s="700"/>
      <c r="N111" s="700"/>
      <c r="O111" s="700"/>
      <c r="P111" s="700"/>
      <c r="Q111" s="700"/>
      <c r="R111" s="700"/>
      <c r="S111" s="700"/>
      <c r="T111" s="700"/>
      <c r="U111" s="700"/>
      <c r="X111" s="638"/>
    </row>
    <row r="112" spans="1:24" s="642" customFormat="1">
      <c r="A112" s="698"/>
      <c r="B112" s="699"/>
      <c r="C112" s="700"/>
      <c r="D112" s="700"/>
      <c r="E112" s="700"/>
      <c r="F112" s="700"/>
      <c r="G112" s="700"/>
      <c r="H112" s="700"/>
      <c r="I112" s="700"/>
      <c r="J112" s="700"/>
      <c r="K112" s="700"/>
      <c r="L112" s="700"/>
      <c r="M112" s="700"/>
      <c r="N112" s="700"/>
      <c r="O112" s="700"/>
      <c r="P112" s="700"/>
      <c r="Q112" s="700"/>
      <c r="R112" s="700"/>
      <c r="S112" s="700"/>
      <c r="T112" s="700"/>
      <c r="U112" s="700"/>
      <c r="X112" s="638"/>
    </row>
    <row r="113" spans="1:24" s="642" customFormat="1">
      <c r="A113" s="698"/>
      <c r="B113" s="699"/>
      <c r="C113" s="700"/>
      <c r="D113" s="700"/>
      <c r="E113" s="700"/>
      <c r="F113" s="700"/>
      <c r="G113" s="700"/>
      <c r="H113" s="700"/>
      <c r="I113" s="700"/>
      <c r="J113" s="700"/>
      <c r="K113" s="700"/>
      <c r="L113" s="700"/>
      <c r="M113" s="700"/>
      <c r="N113" s="700"/>
      <c r="O113" s="700"/>
      <c r="P113" s="700"/>
      <c r="Q113" s="700"/>
      <c r="R113" s="700"/>
      <c r="S113" s="700"/>
      <c r="T113" s="700"/>
      <c r="U113" s="700"/>
      <c r="X113" s="638"/>
    </row>
    <row r="114" spans="1:24" s="642" customFormat="1">
      <c r="A114" s="698"/>
      <c r="B114" s="699"/>
      <c r="C114" s="700"/>
      <c r="D114" s="700"/>
      <c r="E114" s="700"/>
      <c r="F114" s="700"/>
      <c r="G114" s="700"/>
      <c r="H114" s="700"/>
      <c r="I114" s="700"/>
      <c r="J114" s="700"/>
      <c r="K114" s="700"/>
      <c r="L114" s="700"/>
      <c r="M114" s="700"/>
      <c r="N114" s="700"/>
      <c r="O114" s="700"/>
      <c r="P114" s="700"/>
      <c r="Q114" s="700"/>
      <c r="R114" s="700"/>
      <c r="S114" s="700"/>
      <c r="T114" s="700"/>
      <c r="U114" s="700"/>
      <c r="X114" s="638"/>
    </row>
    <row r="115" spans="1:24" s="642" customFormat="1">
      <c r="A115" s="698"/>
      <c r="B115" s="699"/>
      <c r="C115" s="700"/>
      <c r="D115" s="700"/>
      <c r="E115" s="700"/>
      <c r="F115" s="700"/>
      <c r="G115" s="700"/>
      <c r="H115" s="700"/>
      <c r="I115" s="700"/>
      <c r="J115" s="700"/>
      <c r="K115" s="700"/>
      <c r="L115" s="700"/>
      <c r="M115" s="700"/>
      <c r="N115" s="700"/>
      <c r="O115" s="700"/>
      <c r="P115" s="700"/>
      <c r="Q115" s="700"/>
      <c r="R115" s="700"/>
      <c r="S115" s="700"/>
      <c r="T115" s="700"/>
      <c r="U115" s="700"/>
      <c r="X115" s="638"/>
    </row>
    <row r="116" spans="1:24" s="642" customFormat="1">
      <c r="A116" s="698"/>
      <c r="B116" s="699"/>
      <c r="C116" s="700"/>
      <c r="D116" s="700"/>
      <c r="E116" s="700"/>
      <c r="F116" s="700"/>
      <c r="G116" s="700"/>
      <c r="H116" s="700"/>
      <c r="I116" s="700"/>
      <c r="J116" s="700"/>
      <c r="K116" s="700"/>
      <c r="L116" s="700"/>
      <c r="M116" s="700"/>
      <c r="N116" s="700"/>
      <c r="O116" s="700"/>
      <c r="P116" s="700"/>
      <c r="Q116" s="700"/>
      <c r="R116" s="700"/>
      <c r="S116" s="700"/>
      <c r="T116" s="700"/>
      <c r="U116" s="700"/>
      <c r="X116" s="638"/>
    </row>
    <row r="117" spans="1:24" s="642" customFormat="1">
      <c r="A117" s="698"/>
      <c r="B117" s="699"/>
      <c r="C117" s="700"/>
      <c r="D117" s="700"/>
      <c r="E117" s="700"/>
      <c r="F117" s="700"/>
      <c r="G117" s="700"/>
      <c r="H117" s="700"/>
      <c r="I117" s="700"/>
      <c r="J117" s="700"/>
      <c r="K117" s="700"/>
      <c r="L117" s="700"/>
      <c r="M117" s="700"/>
      <c r="N117" s="700"/>
      <c r="O117" s="700"/>
      <c r="P117" s="700"/>
      <c r="Q117" s="700"/>
      <c r="R117" s="700"/>
      <c r="S117" s="700"/>
      <c r="T117" s="700"/>
      <c r="U117" s="700"/>
      <c r="X117" s="638"/>
    </row>
    <row r="118" spans="1:24" s="642" customFormat="1">
      <c r="A118" s="698"/>
      <c r="B118" s="699"/>
      <c r="C118" s="700"/>
      <c r="D118" s="700"/>
      <c r="E118" s="700"/>
      <c r="F118" s="700"/>
      <c r="G118" s="700"/>
      <c r="H118" s="700"/>
      <c r="I118" s="700"/>
      <c r="J118" s="700"/>
      <c r="K118" s="700"/>
      <c r="L118" s="700"/>
      <c r="M118" s="700"/>
      <c r="N118" s="700"/>
      <c r="O118" s="700"/>
      <c r="P118" s="700"/>
      <c r="Q118" s="700"/>
      <c r="R118" s="700"/>
      <c r="S118" s="700"/>
      <c r="T118" s="700"/>
      <c r="U118" s="700"/>
      <c r="X118" s="638"/>
    </row>
    <row r="119" spans="1:24" s="642" customFormat="1">
      <c r="A119" s="698"/>
      <c r="B119" s="699"/>
      <c r="C119" s="700"/>
      <c r="D119" s="700"/>
      <c r="E119" s="700"/>
      <c r="F119" s="700"/>
      <c r="G119" s="700"/>
      <c r="H119" s="700"/>
      <c r="I119" s="700"/>
      <c r="J119" s="700"/>
      <c r="K119" s="700"/>
      <c r="L119" s="700"/>
      <c r="M119" s="700"/>
      <c r="N119" s="700"/>
      <c r="O119" s="700"/>
      <c r="P119" s="700"/>
      <c r="Q119" s="700"/>
      <c r="R119" s="700"/>
      <c r="S119" s="700"/>
      <c r="T119" s="700"/>
      <c r="U119" s="700"/>
      <c r="X119" s="638"/>
    </row>
    <row r="120" spans="1:24" s="642" customFormat="1">
      <c r="A120" s="698"/>
      <c r="B120" s="699"/>
      <c r="C120" s="700"/>
      <c r="D120" s="700"/>
      <c r="E120" s="700"/>
      <c r="F120" s="700"/>
      <c r="G120" s="700"/>
      <c r="H120" s="700"/>
      <c r="I120" s="700"/>
      <c r="J120" s="700"/>
      <c r="K120" s="700"/>
      <c r="L120" s="700"/>
      <c r="M120" s="700"/>
      <c r="N120" s="700"/>
      <c r="O120" s="700"/>
      <c r="P120" s="700"/>
      <c r="Q120" s="700"/>
      <c r="R120" s="700"/>
      <c r="S120" s="700"/>
      <c r="T120" s="700"/>
      <c r="U120" s="700"/>
      <c r="X120" s="638"/>
    </row>
    <row r="121" spans="1:24" s="642" customFormat="1">
      <c r="A121" s="698"/>
      <c r="B121" s="699"/>
      <c r="C121" s="700"/>
      <c r="D121" s="700"/>
      <c r="E121" s="700"/>
      <c r="F121" s="700"/>
      <c r="G121" s="700"/>
      <c r="H121" s="700"/>
      <c r="I121" s="700"/>
      <c r="J121" s="700"/>
      <c r="K121" s="700"/>
      <c r="L121" s="700"/>
      <c r="M121" s="700"/>
      <c r="N121" s="700"/>
      <c r="O121" s="700"/>
      <c r="P121" s="700"/>
      <c r="Q121" s="700"/>
      <c r="R121" s="700"/>
      <c r="S121" s="700"/>
      <c r="T121" s="700"/>
      <c r="U121" s="700"/>
      <c r="X121" s="638"/>
    </row>
    <row r="122" spans="1:24" s="642" customFormat="1">
      <c r="A122" s="698"/>
      <c r="B122" s="699"/>
      <c r="C122" s="700"/>
      <c r="D122" s="700"/>
      <c r="E122" s="700"/>
      <c r="F122" s="700"/>
      <c r="G122" s="700"/>
      <c r="H122" s="700"/>
      <c r="I122" s="700"/>
      <c r="J122" s="700"/>
      <c r="K122" s="700"/>
      <c r="L122" s="700"/>
      <c r="M122" s="700"/>
      <c r="N122" s="700"/>
      <c r="O122" s="700"/>
      <c r="P122" s="700"/>
      <c r="Q122" s="700"/>
      <c r="R122" s="700"/>
      <c r="S122" s="700"/>
      <c r="T122" s="700"/>
      <c r="U122" s="700"/>
      <c r="X122" s="638"/>
    </row>
    <row r="123" spans="1:24" s="642" customFormat="1">
      <c r="A123" s="698"/>
      <c r="B123" s="699"/>
      <c r="C123" s="700"/>
      <c r="D123" s="700"/>
      <c r="E123" s="700"/>
      <c r="F123" s="700"/>
      <c r="G123" s="700"/>
      <c r="H123" s="700"/>
      <c r="I123" s="700"/>
      <c r="J123" s="700"/>
      <c r="K123" s="700"/>
      <c r="L123" s="700"/>
      <c r="M123" s="700"/>
      <c r="N123" s="700"/>
      <c r="O123" s="700"/>
      <c r="P123" s="700"/>
      <c r="Q123" s="700"/>
      <c r="R123" s="700"/>
      <c r="S123" s="700"/>
      <c r="T123" s="700"/>
      <c r="U123" s="700"/>
      <c r="X123" s="638"/>
    </row>
    <row r="124" spans="1:24" s="642" customFormat="1">
      <c r="A124" s="698"/>
      <c r="B124" s="699"/>
      <c r="C124" s="700"/>
      <c r="D124" s="700"/>
      <c r="E124" s="700"/>
      <c r="F124" s="700"/>
      <c r="G124" s="700"/>
      <c r="H124" s="700"/>
      <c r="I124" s="700"/>
      <c r="J124" s="700"/>
      <c r="K124" s="700"/>
      <c r="L124" s="700"/>
      <c r="M124" s="700"/>
      <c r="N124" s="700"/>
      <c r="O124" s="700"/>
      <c r="P124" s="700"/>
      <c r="Q124" s="700"/>
      <c r="R124" s="700"/>
      <c r="S124" s="700"/>
      <c r="T124" s="700"/>
      <c r="U124" s="700"/>
      <c r="X124" s="638"/>
    </row>
    <row r="125" spans="1:24" s="642" customFormat="1">
      <c r="A125" s="698"/>
      <c r="B125" s="699"/>
      <c r="C125" s="700"/>
      <c r="D125" s="700"/>
      <c r="E125" s="700"/>
      <c r="F125" s="700"/>
      <c r="G125" s="700"/>
      <c r="H125" s="700"/>
      <c r="I125" s="700"/>
      <c r="J125" s="700"/>
      <c r="K125" s="700"/>
      <c r="L125" s="700"/>
      <c r="M125" s="700"/>
      <c r="N125" s="700"/>
      <c r="O125" s="700"/>
      <c r="P125" s="700"/>
      <c r="Q125" s="700"/>
      <c r="R125" s="700"/>
      <c r="S125" s="700"/>
      <c r="T125" s="700"/>
      <c r="U125" s="700"/>
      <c r="X125" s="638"/>
    </row>
    <row r="126" spans="1:24" s="642" customFormat="1">
      <c r="A126" s="698"/>
      <c r="B126" s="699"/>
      <c r="C126" s="700"/>
      <c r="D126" s="700"/>
      <c r="E126" s="700"/>
      <c r="F126" s="700"/>
      <c r="G126" s="700"/>
      <c r="H126" s="700"/>
      <c r="I126" s="700"/>
      <c r="J126" s="700"/>
      <c r="K126" s="700"/>
      <c r="L126" s="700"/>
      <c r="M126" s="700"/>
      <c r="N126" s="700"/>
      <c r="O126" s="700"/>
      <c r="P126" s="700"/>
      <c r="Q126" s="700"/>
      <c r="R126" s="700"/>
      <c r="S126" s="700"/>
      <c r="T126" s="700"/>
      <c r="U126" s="700"/>
      <c r="X126" s="638"/>
    </row>
    <row r="127" spans="1:24" s="642" customFormat="1">
      <c r="A127" s="698"/>
      <c r="B127" s="699"/>
      <c r="C127" s="700"/>
      <c r="D127" s="700"/>
      <c r="E127" s="700"/>
      <c r="F127" s="700"/>
      <c r="G127" s="700"/>
      <c r="H127" s="700"/>
      <c r="I127" s="700"/>
      <c r="J127" s="700"/>
      <c r="K127" s="700"/>
      <c r="L127" s="700"/>
      <c r="M127" s="700"/>
      <c r="N127" s="700"/>
      <c r="O127" s="700"/>
      <c r="P127" s="700"/>
      <c r="Q127" s="700"/>
      <c r="R127" s="700"/>
      <c r="S127" s="700"/>
      <c r="T127" s="700"/>
      <c r="U127" s="700"/>
      <c r="X127" s="638"/>
    </row>
    <row r="128" spans="1:24" s="642" customFormat="1">
      <c r="A128" s="698"/>
      <c r="B128" s="699"/>
      <c r="C128" s="700"/>
      <c r="D128" s="700"/>
      <c r="E128" s="700"/>
      <c r="F128" s="700"/>
      <c r="G128" s="700"/>
      <c r="H128" s="700"/>
      <c r="I128" s="700"/>
      <c r="J128" s="700"/>
      <c r="K128" s="700"/>
      <c r="L128" s="700"/>
      <c r="M128" s="700"/>
      <c r="N128" s="700"/>
      <c r="O128" s="700"/>
      <c r="P128" s="700"/>
      <c r="Q128" s="700"/>
      <c r="R128" s="700"/>
      <c r="S128" s="700"/>
      <c r="T128" s="700"/>
      <c r="U128" s="700"/>
      <c r="X128" s="638"/>
    </row>
    <row r="129" spans="1:24" s="642" customFormat="1">
      <c r="A129" s="698"/>
      <c r="B129" s="699"/>
      <c r="C129" s="700"/>
      <c r="D129" s="700"/>
      <c r="E129" s="700"/>
      <c r="F129" s="700"/>
      <c r="G129" s="700"/>
      <c r="H129" s="700"/>
      <c r="I129" s="700"/>
      <c r="J129" s="700"/>
      <c r="K129" s="700"/>
      <c r="L129" s="700"/>
      <c r="M129" s="700"/>
      <c r="N129" s="700"/>
      <c r="O129" s="700"/>
      <c r="P129" s="700"/>
      <c r="Q129" s="700"/>
      <c r="R129" s="700"/>
      <c r="S129" s="700"/>
      <c r="T129" s="700"/>
      <c r="U129" s="700"/>
      <c r="X129" s="638"/>
    </row>
    <row r="130" spans="1:24" s="642" customFormat="1">
      <c r="A130" s="698"/>
      <c r="B130" s="699"/>
      <c r="C130" s="700"/>
      <c r="D130" s="700"/>
      <c r="E130" s="700"/>
      <c r="F130" s="700"/>
      <c r="G130" s="700"/>
      <c r="H130" s="700"/>
      <c r="I130" s="700"/>
      <c r="J130" s="700"/>
      <c r="K130" s="700"/>
      <c r="L130" s="700"/>
      <c r="M130" s="700"/>
      <c r="N130" s="700"/>
      <c r="O130" s="700"/>
      <c r="P130" s="700"/>
      <c r="Q130" s="700"/>
      <c r="R130" s="700"/>
      <c r="S130" s="700"/>
      <c r="T130" s="700"/>
      <c r="U130" s="700"/>
      <c r="X130" s="638"/>
    </row>
    <row r="131" spans="1:24" s="642" customFormat="1">
      <c r="A131" s="698"/>
      <c r="B131" s="699"/>
      <c r="C131" s="700"/>
      <c r="D131" s="700"/>
      <c r="E131" s="700"/>
      <c r="F131" s="700"/>
      <c r="G131" s="700"/>
      <c r="H131" s="700"/>
      <c r="I131" s="700"/>
      <c r="J131" s="700"/>
      <c r="K131" s="700"/>
      <c r="L131" s="700"/>
      <c r="M131" s="700"/>
      <c r="N131" s="700"/>
      <c r="O131" s="700"/>
      <c r="P131" s="700"/>
      <c r="Q131" s="700"/>
      <c r="R131" s="700"/>
      <c r="S131" s="700"/>
      <c r="T131" s="700"/>
      <c r="U131" s="700"/>
      <c r="X131" s="638"/>
    </row>
    <row r="132" spans="1:24" s="642" customFormat="1">
      <c r="A132" s="698"/>
      <c r="B132" s="699"/>
      <c r="C132" s="700"/>
      <c r="D132" s="700"/>
      <c r="E132" s="700"/>
      <c r="F132" s="700"/>
      <c r="G132" s="700"/>
      <c r="H132" s="700"/>
      <c r="I132" s="700"/>
      <c r="J132" s="700"/>
      <c r="K132" s="700"/>
      <c r="L132" s="700"/>
      <c r="M132" s="700"/>
      <c r="N132" s="700"/>
      <c r="O132" s="700"/>
      <c r="P132" s="700"/>
      <c r="Q132" s="700"/>
      <c r="R132" s="700"/>
      <c r="S132" s="700"/>
      <c r="T132" s="700"/>
      <c r="U132" s="700"/>
      <c r="X132" s="638"/>
    </row>
    <row r="133" spans="1:24" s="642" customFormat="1">
      <c r="A133" s="698"/>
      <c r="B133" s="699"/>
      <c r="C133" s="700"/>
      <c r="D133" s="700"/>
      <c r="E133" s="700"/>
      <c r="F133" s="700"/>
      <c r="G133" s="700"/>
      <c r="H133" s="700"/>
      <c r="I133" s="700"/>
      <c r="J133" s="700"/>
      <c r="K133" s="700"/>
      <c r="L133" s="700"/>
      <c r="M133" s="700"/>
      <c r="N133" s="700"/>
      <c r="O133" s="700"/>
      <c r="P133" s="700"/>
      <c r="Q133" s="700"/>
      <c r="R133" s="700"/>
      <c r="S133" s="700"/>
      <c r="T133" s="700"/>
      <c r="U133" s="700"/>
      <c r="X133" s="638"/>
    </row>
    <row r="134" spans="1:24" s="642" customFormat="1">
      <c r="A134" s="698"/>
      <c r="B134" s="699"/>
      <c r="C134" s="700"/>
      <c r="D134" s="700"/>
      <c r="E134" s="700"/>
      <c r="F134" s="700"/>
      <c r="G134" s="700"/>
      <c r="H134" s="700"/>
      <c r="I134" s="700"/>
      <c r="J134" s="700"/>
      <c r="K134" s="700"/>
      <c r="L134" s="700"/>
      <c r="M134" s="700"/>
      <c r="N134" s="700"/>
      <c r="O134" s="700"/>
      <c r="P134" s="700"/>
      <c r="Q134" s="700"/>
      <c r="R134" s="700"/>
      <c r="S134" s="700"/>
      <c r="T134" s="700"/>
      <c r="U134" s="700"/>
      <c r="X134" s="638"/>
    </row>
    <row r="135" spans="1:24" s="642" customFormat="1">
      <c r="A135" s="698"/>
      <c r="B135" s="699"/>
      <c r="C135" s="700"/>
      <c r="D135" s="700"/>
      <c r="E135" s="700"/>
      <c r="F135" s="700"/>
      <c r="G135" s="700"/>
      <c r="H135" s="700"/>
      <c r="I135" s="700"/>
      <c r="J135" s="700"/>
      <c r="K135" s="700"/>
      <c r="L135" s="700"/>
      <c r="M135" s="700"/>
      <c r="N135" s="700"/>
      <c r="O135" s="700"/>
      <c r="P135" s="700"/>
      <c r="Q135" s="700"/>
      <c r="R135" s="700"/>
      <c r="S135" s="700"/>
      <c r="T135" s="700"/>
      <c r="U135" s="700"/>
      <c r="X135" s="638"/>
    </row>
    <row r="136" spans="1:24" s="642" customFormat="1">
      <c r="A136" s="698"/>
      <c r="B136" s="699"/>
      <c r="C136" s="700"/>
      <c r="D136" s="700"/>
      <c r="E136" s="700"/>
      <c r="F136" s="700"/>
      <c r="G136" s="700"/>
      <c r="H136" s="700"/>
      <c r="I136" s="700"/>
      <c r="J136" s="700"/>
      <c r="K136" s="700"/>
      <c r="L136" s="700"/>
      <c r="M136" s="700"/>
      <c r="N136" s="700"/>
      <c r="O136" s="700"/>
      <c r="P136" s="700"/>
      <c r="Q136" s="700"/>
      <c r="R136" s="700"/>
      <c r="S136" s="700"/>
      <c r="T136" s="700"/>
      <c r="U136" s="700"/>
      <c r="X136" s="638"/>
    </row>
    <row r="137" spans="1:24" s="642" customFormat="1">
      <c r="A137" s="698"/>
      <c r="B137" s="699"/>
      <c r="C137" s="700"/>
      <c r="D137" s="700"/>
      <c r="E137" s="700"/>
      <c r="F137" s="700"/>
      <c r="G137" s="700"/>
      <c r="H137" s="700"/>
      <c r="I137" s="700"/>
      <c r="J137" s="700"/>
      <c r="K137" s="700"/>
      <c r="L137" s="700"/>
      <c r="M137" s="700"/>
      <c r="N137" s="700"/>
      <c r="O137" s="700"/>
      <c r="P137" s="700"/>
      <c r="Q137" s="700"/>
      <c r="R137" s="700"/>
      <c r="S137" s="700"/>
      <c r="T137" s="700"/>
      <c r="U137" s="700"/>
      <c r="X137" s="638"/>
    </row>
    <row r="138" spans="1:24" s="642" customFormat="1">
      <c r="A138" s="698"/>
      <c r="B138" s="699"/>
      <c r="C138" s="700"/>
      <c r="D138" s="700"/>
      <c r="E138" s="700"/>
      <c r="F138" s="700"/>
      <c r="G138" s="700"/>
      <c r="H138" s="700"/>
      <c r="I138" s="700"/>
      <c r="J138" s="700"/>
      <c r="K138" s="700"/>
      <c r="L138" s="700"/>
      <c r="M138" s="700"/>
      <c r="N138" s="700"/>
      <c r="O138" s="700"/>
      <c r="P138" s="700"/>
      <c r="Q138" s="700"/>
      <c r="R138" s="700"/>
      <c r="S138" s="700"/>
      <c r="T138" s="700"/>
      <c r="U138" s="700"/>
      <c r="X138" s="638"/>
    </row>
    <row r="139" spans="1:24" s="642" customFormat="1">
      <c r="A139" s="698"/>
      <c r="B139" s="699"/>
      <c r="C139" s="700"/>
      <c r="D139" s="700"/>
      <c r="E139" s="700"/>
      <c r="F139" s="700"/>
      <c r="G139" s="700"/>
      <c r="H139" s="700"/>
      <c r="I139" s="700"/>
      <c r="J139" s="700"/>
      <c r="K139" s="700"/>
      <c r="L139" s="700"/>
      <c r="M139" s="700"/>
      <c r="N139" s="700"/>
      <c r="O139" s="700"/>
      <c r="P139" s="700"/>
      <c r="Q139" s="700"/>
      <c r="R139" s="700"/>
      <c r="S139" s="700"/>
      <c r="T139" s="700"/>
      <c r="U139" s="700"/>
      <c r="X139" s="638"/>
    </row>
    <row r="140" spans="1:24" s="642" customFormat="1">
      <c r="A140" s="698"/>
      <c r="B140" s="699"/>
      <c r="C140" s="700"/>
      <c r="D140" s="700"/>
      <c r="E140" s="700"/>
      <c r="F140" s="700"/>
      <c r="G140" s="700"/>
      <c r="H140" s="700"/>
      <c r="I140" s="700"/>
      <c r="J140" s="700"/>
      <c r="K140" s="700"/>
      <c r="L140" s="700"/>
      <c r="M140" s="700"/>
      <c r="N140" s="700"/>
      <c r="O140" s="700"/>
      <c r="P140" s="700"/>
      <c r="Q140" s="700"/>
      <c r="R140" s="700"/>
      <c r="S140" s="700"/>
      <c r="T140" s="700"/>
      <c r="U140" s="700"/>
      <c r="X140" s="638"/>
    </row>
    <row r="141" spans="1:24" s="642" customFormat="1">
      <c r="A141" s="698"/>
      <c r="B141" s="699"/>
      <c r="C141" s="700"/>
      <c r="D141" s="700"/>
      <c r="E141" s="700"/>
      <c r="F141" s="700"/>
      <c r="G141" s="700"/>
      <c r="H141" s="700"/>
      <c r="I141" s="700"/>
      <c r="J141" s="700"/>
      <c r="K141" s="700"/>
      <c r="L141" s="700"/>
      <c r="M141" s="700"/>
      <c r="N141" s="700"/>
      <c r="O141" s="700"/>
      <c r="P141" s="700"/>
      <c r="Q141" s="700"/>
      <c r="R141" s="700"/>
      <c r="S141" s="700"/>
      <c r="T141" s="700"/>
      <c r="U141" s="700"/>
      <c r="X141" s="638"/>
    </row>
    <row r="142" spans="1:24" s="642" customFormat="1">
      <c r="A142" s="698"/>
      <c r="B142" s="699"/>
      <c r="C142" s="700"/>
      <c r="D142" s="700"/>
      <c r="E142" s="700"/>
      <c r="F142" s="700"/>
      <c r="G142" s="700"/>
      <c r="H142" s="700"/>
      <c r="I142" s="700"/>
      <c r="J142" s="700"/>
      <c r="K142" s="700"/>
      <c r="L142" s="700"/>
      <c r="M142" s="700"/>
      <c r="N142" s="700"/>
      <c r="O142" s="700"/>
      <c r="P142" s="700"/>
      <c r="Q142" s="700"/>
      <c r="R142" s="700"/>
      <c r="S142" s="700"/>
      <c r="T142" s="700"/>
      <c r="U142" s="700"/>
      <c r="X142" s="638"/>
    </row>
    <row r="143" spans="1:24" s="642" customFormat="1">
      <c r="A143" s="698"/>
      <c r="B143" s="699"/>
      <c r="C143" s="700"/>
      <c r="D143" s="700"/>
      <c r="E143" s="700"/>
      <c r="F143" s="700"/>
      <c r="G143" s="700"/>
      <c r="H143" s="700"/>
      <c r="I143" s="700"/>
      <c r="J143" s="700"/>
      <c r="K143" s="700"/>
      <c r="L143" s="700"/>
      <c r="M143" s="700"/>
      <c r="N143" s="700"/>
      <c r="O143" s="700"/>
      <c r="P143" s="700"/>
      <c r="Q143" s="700"/>
      <c r="R143" s="700"/>
      <c r="S143" s="700"/>
      <c r="T143" s="700"/>
      <c r="U143" s="700"/>
      <c r="X143" s="638"/>
    </row>
    <row r="144" spans="1:24" s="642" customFormat="1">
      <c r="A144" s="698"/>
      <c r="B144" s="699"/>
      <c r="C144" s="700"/>
      <c r="D144" s="700"/>
      <c r="E144" s="700"/>
      <c r="F144" s="700"/>
      <c r="G144" s="700"/>
      <c r="H144" s="700"/>
      <c r="I144" s="700"/>
      <c r="J144" s="700"/>
      <c r="K144" s="700"/>
      <c r="L144" s="700"/>
      <c r="M144" s="700"/>
      <c r="N144" s="700"/>
      <c r="O144" s="700"/>
      <c r="P144" s="700"/>
      <c r="Q144" s="700"/>
      <c r="R144" s="700"/>
      <c r="S144" s="700"/>
      <c r="T144" s="700"/>
      <c r="U144" s="700"/>
      <c r="X144" s="638"/>
    </row>
    <row r="145" spans="1:24" s="642" customFormat="1">
      <c r="A145" s="698"/>
      <c r="B145" s="699"/>
      <c r="C145" s="700"/>
      <c r="D145" s="700"/>
      <c r="E145" s="700"/>
      <c r="F145" s="700"/>
      <c r="G145" s="700"/>
      <c r="H145" s="700"/>
      <c r="I145" s="700"/>
      <c r="J145" s="700"/>
      <c r="K145" s="700"/>
      <c r="L145" s="700"/>
      <c r="M145" s="700"/>
      <c r="N145" s="700"/>
      <c r="O145" s="700"/>
      <c r="P145" s="700"/>
      <c r="Q145" s="700"/>
      <c r="R145" s="700"/>
      <c r="S145" s="700"/>
      <c r="T145" s="700"/>
      <c r="U145" s="700"/>
      <c r="X145" s="638"/>
    </row>
    <row r="146" spans="1:24" s="642" customFormat="1">
      <c r="A146" s="698"/>
      <c r="B146" s="699"/>
      <c r="C146" s="700"/>
      <c r="D146" s="700"/>
      <c r="E146" s="700"/>
      <c r="F146" s="700"/>
      <c r="G146" s="700"/>
      <c r="H146" s="700"/>
      <c r="I146" s="700"/>
      <c r="J146" s="700"/>
      <c r="K146" s="700"/>
      <c r="L146" s="700"/>
      <c r="M146" s="700"/>
      <c r="N146" s="700"/>
      <c r="O146" s="700"/>
      <c r="P146" s="700"/>
      <c r="Q146" s="700"/>
      <c r="R146" s="700"/>
      <c r="S146" s="700"/>
      <c r="T146" s="700"/>
      <c r="U146" s="700"/>
      <c r="X146" s="638"/>
    </row>
    <row r="147" spans="1:24" s="642" customFormat="1">
      <c r="A147" s="698"/>
      <c r="B147" s="699"/>
      <c r="C147" s="700"/>
      <c r="D147" s="700"/>
      <c r="E147" s="700"/>
      <c r="F147" s="700"/>
      <c r="G147" s="700"/>
      <c r="H147" s="700"/>
      <c r="I147" s="700"/>
      <c r="J147" s="700"/>
      <c r="K147" s="700"/>
      <c r="L147" s="700"/>
      <c r="M147" s="700"/>
      <c r="N147" s="700"/>
      <c r="O147" s="700"/>
      <c r="P147" s="700"/>
      <c r="Q147" s="700"/>
      <c r="R147" s="700"/>
      <c r="S147" s="700"/>
      <c r="T147" s="700"/>
      <c r="U147" s="700"/>
      <c r="X147" s="638"/>
    </row>
    <row r="148" spans="1:24" s="642" customFormat="1">
      <c r="A148" s="698"/>
      <c r="B148" s="699"/>
      <c r="C148" s="700"/>
      <c r="D148" s="700"/>
      <c r="E148" s="700"/>
      <c r="F148" s="700"/>
      <c r="G148" s="700"/>
      <c r="H148" s="700"/>
      <c r="I148" s="700"/>
      <c r="J148" s="700"/>
      <c r="K148" s="700"/>
      <c r="L148" s="700"/>
      <c r="M148" s="700"/>
      <c r="N148" s="700"/>
      <c r="O148" s="700"/>
      <c r="P148" s="700"/>
      <c r="Q148" s="700"/>
      <c r="R148" s="700"/>
      <c r="S148" s="700"/>
      <c r="T148" s="700"/>
      <c r="U148" s="700"/>
      <c r="X148" s="638"/>
    </row>
    <row r="149" spans="1:24" s="642" customFormat="1">
      <c r="A149" s="698"/>
      <c r="B149" s="699"/>
      <c r="C149" s="700"/>
      <c r="D149" s="700"/>
      <c r="E149" s="700"/>
      <c r="F149" s="700"/>
      <c r="G149" s="700"/>
      <c r="H149" s="700"/>
      <c r="I149" s="700"/>
      <c r="J149" s="700"/>
      <c r="K149" s="700"/>
      <c r="L149" s="700"/>
      <c r="M149" s="700"/>
      <c r="N149" s="700"/>
      <c r="O149" s="700"/>
      <c r="P149" s="700"/>
      <c r="Q149" s="700"/>
      <c r="R149" s="700"/>
      <c r="S149" s="700"/>
      <c r="T149" s="700"/>
      <c r="U149" s="700"/>
      <c r="X149" s="638"/>
    </row>
    <row r="150" spans="1:24" s="642" customFormat="1">
      <c r="A150" s="698"/>
      <c r="B150" s="699"/>
      <c r="C150" s="700"/>
      <c r="D150" s="700"/>
      <c r="E150" s="700"/>
      <c r="F150" s="700"/>
      <c r="G150" s="700"/>
      <c r="H150" s="700"/>
      <c r="I150" s="700"/>
      <c r="J150" s="700"/>
      <c r="K150" s="700"/>
      <c r="L150" s="700"/>
      <c r="M150" s="700"/>
      <c r="N150" s="700"/>
      <c r="O150" s="700"/>
      <c r="P150" s="700"/>
      <c r="Q150" s="700"/>
      <c r="R150" s="700"/>
      <c r="S150" s="700"/>
      <c r="T150" s="700"/>
      <c r="U150" s="700"/>
      <c r="X150" s="638"/>
    </row>
    <row r="151" spans="1:24" s="642" customFormat="1">
      <c r="A151" s="698"/>
      <c r="B151" s="699"/>
      <c r="C151" s="700"/>
      <c r="D151" s="700"/>
      <c r="E151" s="700"/>
      <c r="F151" s="700"/>
      <c r="G151" s="700"/>
      <c r="H151" s="700"/>
      <c r="I151" s="700"/>
      <c r="J151" s="700"/>
      <c r="K151" s="700"/>
      <c r="L151" s="700"/>
      <c r="M151" s="700"/>
      <c r="N151" s="700"/>
      <c r="O151" s="700"/>
      <c r="P151" s="700"/>
      <c r="Q151" s="700"/>
      <c r="R151" s="700"/>
      <c r="S151" s="700"/>
      <c r="T151" s="700"/>
      <c r="U151" s="700"/>
      <c r="X151" s="638"/>
    </row>
    <row r="152" spans="1:24" s="642" customFormat="1">
      <c r="A152" s="698"/>
      <c r="B152" s="699"/>
      <c r="C152" s="700"/>
      <c r="D152" s="700"/>
      <c r="E152" s="700"/>
      <c r="F152" s="700"/>
      <c r="G152" s="700"/>
      <c r="H152" s="700"/>
      <c r="I152" s="700"/>
      <c r="J152" s="700"/>
      <c r="K152" s="700"/>
      <c r="L152" s="700"/>
      <c r="M152" s="700"/>
      <c r="N152" s="700"/>
      <c r="O152" s="700"/>
      <c r="P152" s="700"/>
      <c r="Q152" s="700"/>
      <c r="R152" s="700"/>
      <c r="S152" s="700"/>
      <c r="T152" s="700"/>
      <c r="U152" s="700"/>
      <c r="X152" s="638"/>
    </row>
    <row r="153" spans="1:24" s="642" customFormat="1">
      <c r="A153" s="698"/>
      <c r="B153" s="699"/>
      <c r="C153" s="700"/>
      <c r="D153" s="700"/>
      <c r="E153" s="700"/>
      <c r="F153" s="700"/>
      <c r="G153" s="700"/>
      <c r="H153" s="700"/>
      <c r="I153" s="700"/>
      <c r="J153" s="700"/>
      <c r="K153" s="700"/>
      <c r="L153" s="700"/>
      <c r="M153" s="700"/>
      <c r="N153" s="700"/>
      <c r="O153" s="700"/>
      <c r="P153" s="700"/>
      <c r="Q153" s="700"/>
      <c r="R153" s="700"/>
      <c r="S153" s="700"/>
      <c r="T153" s="700"/>
      <c r="U153" s="700"/>
      <c r="X153" s="638"/>
    </row>
    <row r="154" spans="1:24" s="642" customFormat="1">
      <c r="A154" s="698"/>
      <c r="B154" s="699"/>
      <c r="C154" s="700"/>
      <c r="D154" s="700"/>
      <c r="E154" s="700"/>
      <c r="F154" s="700"/>
      <c r="G154" s="700"/>
      <c r="H154" s="700"/>
      <c r="I154" s="700"/>
      <c r="J154" s="700"/>
      <c r="K154" s="700"/>
      <c r="L154" s="700"/>
      <c r="M154" s="700"/>
      <c r="N154" s="700"/>
      <c r="O154" s="700"/>
      <c r="P154" s="700"/>
      <c r="Q154" s="700"/>
      <c r="R154" s="700"/>
      <c r="S154" s="700"/>
      <c r="T154" s="700"/>
      <c r="U154" s="700"/>
      <c r="X154" s="638"/>
    </row>
    <row r="155" spans="1:24" s="642" customFormat="1">
      <c r="A155" s="698"/>
      <c r="B155" s="699"/>
      <c r="C155" s="700"/>
      <c r="D155" s="700"/>
      <c r="E155" s="700"/>
      <c r="F155" s="700"/>
      <c r="G155" s="700"/>
      <c r="H155" s="700"/>
      <c r="I155" s="700"/>
      <c r="J155" s="700"/>
      <c r="K155" s="700"/>
      <c r="L155" s="700"/>
      <c r="M155" s="700"/>
      <c r="N155" s="700"/>
      <c r="O155" s="700"/>
      <c r="P155" s="700"/>
      <c r="Q155" s="700"/>
      <c r="R155" s="700"/>
      <c r="S155" s="700"/>
      <c r="T155" s="700"/>
      <c r="U155" s="700"/>
      <c r="X155" s="638"/>
    </row>
    <row r="156" spans="1:24" s="642" customFormat="1">
      <c r="A156" s="698"/>
      <c r="B156" s="699"/>
      <c r="C156" s="700"/>
      <c r="D156" s="700"/>
      <c r="E156" s="700"/>
      <c r="F156" s="700"/>
      <c r="G156" s="700"/>
      <c r="H156" s="700"/>
      <c r="I156" s="700"/>
      <c r="J156" s="700"/>
      <c r="K156" s="700"/>
      <c r="L156" s="700"/>
      <c r="M156" s="700"/>
      <c r="N156" s="700"/>
      <c r="O156" s="700"/>
      <c r="P156" s="700"/>
      <c r="Q156" s="700"/>
      <c r="R156" s="700"/>
      <c r="S156" s="700"/>
      <c r="T156" s="700"/>
      <c r="U156" s="700"/>
      <c r="X156" s="638"/>
    </row>
    <row r="157" spans="1:24" s="642" customFormat="1">
      <c r="A157" s="698"/>
      <c r="B157" s="699"/>
      <c r="C157" s="700"/>
      <c r="D157" s="700"/>
      <c r="E157" s="700"/>
      <c r="F157" s="700"/>
      <c r="G157" s="700"/>
      <c r="H157" s="700"/>
      <c r="I157" s="700"/>
      <c r="J157" s="700"/>
      <c r="K157" s="700"/>
      <c r="L157" s="700"/>
      <c r="M157" s="700"/>
      <c r="N157" s="700"/>
      <c r="O157" s="700"/>
      <c r="P157" s="700"/>
      <c r="Q157" s="700"/>
      <c r="R157" s="700"/>
      <c r="S157" s="700"/>
      <c r="T157" s="700"/>
      <c r="U157" s="700"/>
      <c r="X157" s="638"/>
    </row>
    <row r="158" spans="1:24" s="642" customFormat="1">
      <c r="A158" s="698"/>
      <c r="B158" s="699"/>
      <c r="C158" s="700"/>
      <c r="D158" s="700"/>
      <c r="E158" s="700"/>
      <c r="F158" s="700"/>
      <c r="G158" s="700"/>
      <c r="H158" s="700"/>
      <c r="I158" s="700"/>
      <c r="J158" s="700"/>
      <c r="K158" s="700"/>
      <c r="L158" s="700"/>
      <c r="M158" s="700"/>
      <c r="N158" s="700"/>
      <c r="O158" s="700"/>
      <c r="P158" s="700"/>
      <c r="Q158" s="700"/>
      <c r="R158" s="700"/>
      <c r="S158" s="700"/>
      <c r="T158" s="700"/>
      <c r="U158" s="700"/>
      <c r="X158" s="638"/>
    </row>
    <row r="159" spans="1:24" s="642" customFormat="1">
      <c r="A159" s="698"/>
      <c r="B159" s="699"/>
      <c r="C159" s="700"/>
      <c r="D159" s="700"/>
      <c r="E159" s="700"/>
      <c r="F159" s="700"/>
      <c r="G159" s="700"/>
      <c r="H159" s="700"/>
      <c r="I159" s="700"/>
      <c r="J159" s="700"/>
      <c r="K159" s="700"/>
      <c r="L159" s="700"/>
      <c r="M159" s="700"/>
      <c r="N159" s="700"/>
      <c r="O159" s="700"/>
      <c r="P159" s="700"/>
      <c r="Q159" s="700"/>
      <c r="R159" s="700"/>
      <c r="S159" s="700"/>
      <c r="T159" s="700"/>
      <c r="U159" s="700"/>
      <c r="X159" s="638"/>
    </row>
    <row r="160" spans="1:24" s="642" customFormat="1">
      <c r="A160" s="698"/>
      <c r="B160" s="699"/>
      <c r="C160" s="700"/>
      <c r="D160" s="700"/>
      <c r="E160" s="700"/>
      <c r="F160" s="700"/>
      <c r="G160" s="700"/>
      <c r="H160" s="700"/>
      <c r="I160" s="700"/>
      <c r="J160" s="700"/>
      <c r="K160" s="700"/>
      <c r="L160" s="700"/>
      <c r="M160" s="700"/>
      <c r="N160" s="700"/>
      <c r="O160" s="700"/>
      <c r="P160" s="700"/>
      <c r="Q160" s="700"/>
      <c r="R160" s="700"/>
      <c r="S160" s="700"/>
      <c r="T160" s="700"/>
      <c r="U160" s="700"/>
      <c r="X160" s="638"/>
    </row>
    <row r="161" spans="1:24" s="642" customFormat="1">
      <c r="A161" s="698"/>
      <c r="B161" s="699"/>
      <c r="C161" s="700"/>
      <c r="D161" s="700"/>
      <c r="E161" s="700"/>
      <c r="F161" s="700"/>
      <c r="G161" s="700"/>
      <c r="H161" s="700"/>
      <c r="I161" s="700"/>
      <c r="J161" s="700"/>
      <c r="K161" s="700"/>
      <c r="L161" s="700"/>
      <c r="M161" s="700"/>
      <c r="N161" s="700"/>
      <c r="O161" s="700"/>
      <c r="P161" s="700"/>
      <c r="Q161" s="700"/>
      <c r="R161" s="700"/>
      <c r="S161" s="700"/>
      <c r="T161" s="700"/>
      <c r="U161" s="700"/>
      <c r="X161" s="638"/>
    </row>
    <row r="162" spans="1:24" s="642" customFormat="1">
      <c r="A162" s="698"/>
      <c r="B162" s="699"/>
      <c r="C162" s="700"/>
      <c r="D162" s="700"/>
      <c r="E162" s="700"/>
      <c r="F162" s="700"/>
      <c r="G162" s="700"/>
      <c r="H162" s="700"/>
      <c r="I162" s="700"/>
      <c r="J162" s="700"/>
      <c r="K162" s="700"/>
      <c r="L162" s="700"/>
      <c r="M162" s="700"/>
      <c r="N162" s="700"/>
      <c r="O162" s="700"/>
      <c r="P162" s="700"/>
      <c r="Q162" s="700"/>
      <c r="R162" s="700"/>
      <c r="S162" s="700"/>
      <c r="T162" s="700"/>
      <c r="U162" s="700"/>
      <c r="X162" s="638"/>
    </row>
    <row r="163" spans="1:24" s="642" customFormat="1">
      <c r="A163" s="698"/>
      <c r="B163" s="699"/>
      <c r="C163" s="700"/>
      <c r="D163" s="700"/>
      <c r="E163" s="700"/>
      <c r="F163" s="700"/>
      <c r="G163" s="700"/>
      <c r="H163" s="700"/>
      <c r="I163" s="700"/>
      <c r="J163" s="700"/>
      <c r="K163" s="700"/>
      <c r="L163" s="700"/>
      <c r="M163" s="700"/>
      <c r="N163" s="700"/>
      <c r="O163" s="700"/>
      <c r="P163" s="700"/>
      <c r="Q163" s="700"/>
      <c r="R163" s="700"/>
      <c r="S163" s="700"/>
      <c r="T163" s="700"/>
      <c r="U163" s="700"/>
      <c r="X163" s="638"/>
    </row>
    <row r="164" spans="1:24" s="642" customFormat="1">
      <c r="A164" s="698"/>
      <c r="B164" s="699"/>
      <c r="C164" s="700"/>
      <c r="D164" s="700"/>
      <c r="E164" s="700"/>
      <c r="F164" s="700"/>
      <c r="G164" s="700"/>
      <c r="H164" s="700"/>
      <c r="I164" s="700"/>
      <c r="J164" s="700"/>
      <c r="K164" s="700"/>
      <c r="L164" s="700"/>
      <c r="M164" s="700"/>
      <c r="N164" s="700"/>
      <c r="O164" s="700"/>
      <c r="P164" s="700"/>
      <c r="Q164" s="700"/>
      <c r="R164" s="700"/>
      <c r="S164" s="700"/>
      <c r="T164" s="700"/>
      <c r="U164" s="700"/>
      <c r="X164" s="638"/>
    </row>
    <row r="165" spans="1:24" s="642" customFormat="1">
      <c r="A165" s="698"/>
      <c r="B165" s="699"/>
      <c r="C165" s="700"/>
      <c r="D165" s="700"/>
      <c r="E165" s="700"/>
      <c r="F165" s="700"/>
      <c r="G165" s="700"/>
      <c r="H165" s="700"/>
      <c r="I165" s="700"/>
      <c r="J165" s="700"/>
      <c r="K165" s="700"/>
      <c r="L165" s="700"/>
      <c r="M165" s="700"/>
      <c r="N165" s="700"/>
      <c r="O165" s="700"/>
      <c r="P165" s="700"/>
      <c r="Q165" s="700"/>
      <c r="R165" s="700"/>
      <c r="S165" s="700"/>
      <c r="T165" s="700"/>
      <c r="U165" s="700"/>
      <c r="X165" s="638"/>
    </row>
    <row r="166" spans="1:24" s="642" customFormat="1">
      <c r="A166" s="698"/>
      <c r="B166" s="699"/>
      <c r="C166" s="700"/>
      <c r="D166" s="700"/>
      <c r="E166" s="700"/>
      <c r="F166" s="700"/>
      <c r="G166" s="700"/>
      <c r="H166" s="700"/>
      <c r="I166" s="700"/>
      <c r="J166" s="700"/>
      <c r="K166" s="700"/>
      <c r="L166" s="700"/>
      <c r="M166" s="700"/>
      <c r="N166" s="700"/>
      <c r="O166" s="700"/>
      <c r="P166" s="700"/>
      <c r="Q166" s="700"/>
      <c r="R166" s="700"/>
      <c r="S166" s="700"/>
      <c r="T166" s="700"/>
      <c r="U166" s="700"/>
      <c r="X166" s="638"/>
    </row>
    <row r="167" spans="1:24" s="642" customFormat="1">
      <c r="A167" s="698"/>
      <c r="B167" s="699"/>
      <c r="C167" s="700"/>
      <c r="D167" s="700"/>
      <c r="E167" s="700"/>
      <c r="F167" s="700"/>
      <c r="G167" s="700"/>
      <c r="H167" s="700"/>
      <c r="I167" s="700"/>
      <c r="J167" s="700"/>
      <c r="K167" s="700"/>
      <c r="L167" s="700"/>
      <c r="M167" s="700"/>
      <c r="N167" s="700"/>
      <c r="O167" s="700"/>
      <c r="P167" s="700"/>
      <c r="Q167" s="700"/>
      <c r="R167" s="700"/>
      <c r="S167" s="700"/>
      <c r="T167" s="700"/>
      <c r="U167" s="700"/>
      <c r="X167" s="638"/>
    </row>
    <row r="168" spans="1:24" s="642" customFormat="1">
      <c r="A168" s="698"/>
      <c r="B168" s="699"/>
      <c r="C168" s="700"/>
      <c r="D168" s="700"/>
      <c r="E168" s="700"/>
      <c r="F168" s="700"/>
      <c r="G168" s="700"/>
      <c r="H168" s="700"/>
      <c r="I168" s="700"/>
      <c r="J168" s="700"/>
      <c r="K168" s="700"/>
      <c r="L168" s="700"/>
      <c r="M168" s="700"/>
      <c r="N168" s="700"/>
      <c r="O168" s="700"/>
      <c r="P168" s="700"/>
      <c r="Q168" s="700"/>
      <c r="R168" s="700"/>
      <c r="S168" s="700"/>
      <c r="T168" s="700"/>
      <c r="U168" s="700"/>
      <c r="X168" s="638"/>
    </row>
    <row r="169" spans="1:24" s="642" customFormat="1">
      <c r="A169" s="698"/>
      <c r="B169" s="699"/>
      <c r="C169" s="700"/>
      <c r="D169" s="700"/>
      <c r="E169" s="700"/>
      <c r="F169" s="700"/>
      <c r="G169" s="700"/>
      <c r="H169" s="700"/>
      <c r="I169" s="700"/>
      <c r="J169" s="700"/>
      <c r="K169" s="700"/>
      <c r="L169" s="700"/>
      <c r="M169" s="700"/>
      <c r="N169" s="700"/>
      <c r="O169" s="700"/>
      <c r="P169" s="700"/>
      <c r="Q169" s="700"/>
      <c r="R169" s="700"/>
      <c r="S169" s="700"/>
      <c r="T169" s="700"/>
      <c r="U169" s="700"/>
      <c r="X169" s="638"/>
    </row>
    <row r="170" spans="1:24" s="642" customFormat="1">
      <c r="A170" s="698"/>
      <c r="B170" s="699"/>
      <c r="C170" s="700"/>
      <c r="D170" s="700"/>
      <c r="E170" s="700"/>
      <c r="F170" s="700"/>
      <c r="G170" s="700"/>
      <c r="H170" s="700"/>
      <c r="I170" s="700"/>
      <c r="J170" s="700"/>
      <c r="K170" s="700"/>
      <c r="L170" s="700"/>
      <c r="M170" s="700"/>
      <c r="N170" s="700"/>
      <c r="O170" s="700"/>
      <c r="P170" s="700"/>
      <c r="Q170" s="700"/>
      <c r="R170" s="700"/>
      <c r="S170" s="700"/>
      <c r="T170" s="700"/>
      <c r="U170" s="700"/>
      <c r="X170" s="638"/>
    </row>
    <row r="171" spans="1:24" s="642" customFormat="1">
      <c r="A171" s="698"/>
      <c r="B171" s="699"/>
      <c r="C171" s="700"/>
      <c r="D171" s="700"/>
      <c r="E171" s="700"/>
      <c r="F171" s="700"/>
      <c r="G171" s="700"/>
      <c r="H171" s="700"/>
      <c r="I171" s="700"/>
      <c r="J171" s="700"/>
      <c r="K171" s="700"/>
      <c r="L171" s="700"/>
      <c r="M171" s="700"/>
      <c r="N171" s="700"/>
      <c r="O171" s="700"/>
      <c r="P171" s="700"/>
      <c r="Q171" s="700"/>
      <c r="R171" s="700"/>
      <c r="S171" s="700"/>
      <c r="T171" s="700"/>
      <c r="U171" s="700"/>
      <c r="X171" s="638"/>
    </row>
    <row r="172" spans="1:24" s="642" customFormat="1">
      <c r="A172" s="698"/>
      <c r="B172" s="699"/>
      <c r="C172" s="700"/>
      <c r="D172" s="700"/>
      <c r="E172" s="700"/>
      <c r="F172" s="700"/>
      <c r="G172" s="700"/>
      <c r="H172" s="700"/>
      <c r="I172" s="700"/>
      <c r="J172" s="700"/>
      <c r="K172" s="700"/>
      <c r="L172" s="700"/>
      <c r="M172" s="700"/>
      <c r="N172" s="700"/>
      <c r="O172" s="700"/>
      <c r="P172" s="700"/>
      <c r="Q172" s="700"/>
      <c r="R172" s="700"/>
      <c r="S172" s="700"/>
      <c r="T172" s="700"/>
      <c r="U172" s="700"/>
      <c r="X172" s="638"/>
    </row>
    <row r="173" spans="1:24" s="642" customFormat="1">
      <c r="A173" s="698"/>
      <c r="B173" s="699"/>
      <c r="C173" s="700"/>
      <c r="D173" s="700"/>
      <c r="E173" s="700"/>
      <c r="F173" s="700"/>
      <c r="G173" s="700"/>
      <c r="H173" s="700"/>
      <c r="I173" s="700"/>
      <c r="J173" s="700"/>
      <c r="K173" s="700"/>
      <c r="L173" s="700"/>
      <c r="M173" s="700"/>
      <c r="N173" s="700"/>
      <c r="O173" s="700"/>
      <c r="P173" s="700"/>
      <c r="Q173" s="700"/>
      <c r="R173" s="700"/>
      <c r="S173" s="700"/>
      <c r="T173" s="700"/>
      <c r="U173" s="700"/>
      <c r="X173" s="638"/>
    </row>
    <row r="174" spans="1:24" s="642" customFormat="1">
      <c r="A174" s="698"/>
      <c r="B174" s="699"/>
      <c r="C174" s="700"/>
      <c r="D174" s="700"/>
      <c r="E174" s="700"/>
      <c r="F174" s="700"/>
      <c r="G174" s="700"/>
      <c r="H174" s="700"/>
      <c r="I174" s="700"/>
      <c r="J174" s="700"/>
      <c r="K174" s="700"/>
      <c r="L174" s="700"/>
      <c r="M174" s="700"/>
      <c r="N174" s="700"/>
      <c r="O174" s="700"/>
      <c r="P174" s="700"/>
      <c r="Q174" s="700"/>
      <c r="R174" s="700"/>
      <c r="S174" s="700"/>
      <c r="T174" s="700"/>
      <c r="U174" s="700"/>
      <c r="X174" s="638"/>
    </row>
    <row r="175" spans="1:24" s="642" customFormat="1">
      <c r="A175" s="698"/>
      <c r="B175" s="699"/>
      <c r="C175" s="700"/>
      <c r="D175" s="700"/>
      <c r="E175" s="700"/>
      <c r="F175" s="700"/>
      <c r="G175" s="700"/>
      <c r="H175" s="700"/>
      <c r="I175" s="700"/>
      <c r="J175" s="700"/>
      <c r="K175" s="700"/>
      <c r="L175" s="700"/>
      <c r="M175" s="700"/>
      <c r="N175" s="700"/>
      <c r="O175" s="700"/>
      <c r="P175" s="700"/>
      <c r="Q175" s="700"/>
      <c r="R175" s="700"/>
      <c r="S175" s="700"/>
      <c r="T175" s="700"/>
      <c r="U175" s="700"/>
      <c r="X175" s="638"/>
    </row>
    <row r="176" spans="1:24" s="642" customFormat="1">
      <c r="A176" s="698"/>
      <c r="B176" s="699"/>
      <c r="C176" s="700"/>
      <c r="D176" s="700"/>
      <c r="E176" s="700"/>
      <c r="F176" s="700"/>
      <c r="G176" s="700"/>
      <c r="H176" s="700"/>
      <c r="I176" s="700"/>
      <c r="J176" s="700"/>
      <c r="K176" s="700"/>
      <c r="L176" s="700"/>
      <c r="M176" s="700"/>
      <c r="N176" s="700"/>
      <c r="O176" s="700"/>
      <c r="P176" s="700"/>
      <c r="Q176" s="700"/>
      <c r="R176" s="700"/>
      <c r="S176" s="700"/>
      <c r="T176" s="700"/>
      <c r="U176" s="700"/>
      <c r="X176" s="638"/>
    </row>
    <row r="177" spans="1:24" s="642" customFormat="1">
      <c r="A177" s="698"/>
      <c r="B177" s="699"/>
      <c r="C177" s="700"/>
      <c r="D177" s="700"/>
      <c r="E177" s="700"/>
      <c r="F177" s="700"/>
      <c r="G177" s="700"/>
      <c r="H177" s="700"/>
      <c r="I177" s="700"/>
      <c r="J177" s="700"/>
      <c r="K177" s="700"/>
      <c r="L177" s="700"/>
      <c r="M177" s="700"/>
      <c r="N177" s="700"/>
      <c r="O177" s="700"/>
      <c r="P177" s="700"/>
      <c r="Q177" s="700"/>
      <c r="R177" s="700"/>
      <c r="S177" s="700"/>
      <c r="T177" s="700"/>
      <c r="U177" s="700"/>
      <c r="X177" s="638"/>
    </row>
    <row r="178" spans="1:24" s="642" customFormat="1">
      <c r="A178" s="698"/>
      <c r="B178" s="699"/>
      <c r="C178" s="700"/>
      <c r="D178" s="700"/>
      <c r="E178" s="700"/>
      <c r="F178" s="700"/>
      <c r="G178" s="700"/>
      <c r="H178" s="700"/>
      <c r="I178" s="700"/>
      <c r="J178" s="700"/>
      <c r="K178" s="700"/>
      <c r="L178" s="700"/>
      <c r="M178" s="700"/>
      <c r="N178" s="700"/>
      <c r="O178" s="700"/>
      <c r="P178" s="700"/>
      <c r="Q178" s="700"/>
      <c r="R178" s="700"/>
      <c r="S178" s="700"/>
      <c r="T178" s="700"/>
      <c r="U178" s="700"/>
      <c r="X178" s="638"/>
    </row>
    <row r="179" spans="1:24" s="642" customFormat="1">
      <c r="A179" s="698"/>
      <c r="B179" s="699"/>
      <c r="C179" s="700"/>
      <c r="D179" s="700"/>
      <c r="E179" s="700"/>
      <c r="F179" s="700"/>
      <c r="G179" s="700"/>
      <c r="H179" s="700"/>
      <c r="I179" s="700"/>
      <c r="J179" s="700"/>
      <c r="K179" s="700"/>
      <c r="L179" s="700"/>
      <c r="M179" s="700"/>
      <c r="N179" s="700"/>
      <c r="O179" s="700"/>
      <c r="P179" s="700"/>
      <c r="Q179" s="700"/>
      <c r="R179" s="700"/>
      <c r="S179" s="700"/>
      <c r="T179" s="700"/>
      <c r="U179" s="700"/>
      <c r="X179" s="638"/>
    </row>
    <row r="180" spans="1:24" s="642" customFormat="1">
      <c r="A180" s="698"/>
      <c r="B180" s="699"/>
      <c r="C180" s="700"/>
      <c r="D180" s="700"/>
      <c r="E180" s="700"/>
      <c r="F180" s="700"/>
      <c r="G180" s="700"/>
      <c r="H180" s="700"/>
      <c r="I180" s="700"/>
      <c r="J180" s="700"/>
      <c r="K180" s="700"/>
      <c r="L180" s="700"/>
      <c r="M180" s="700"/>
      <c r="N180" s="700"/>
      <c r="O180" s="700"/>
      <c r="P180" s="700"/>
      <c r="Q180" s="700"/>
      <c r="R180" s="700"/>
      <c r="S180" s="700"/>
      <c r="T180" s="700"/>
      <c r="U180" s="700"/>
      <c r="X180" s="638"/>
    </row>
    <row r="181" spans="1:24" s="642" customFormat="1">
      <c r="A181" s="698"/>
      <c r="B181" s="699"/>
      <c r="C181" s="700"/>
      <c r="D181" s="700"/>
      <c r="E181" s="700"/>
      <c r="F181" s="700"/>
      <c r="G181" s="700"/>
      <c r="H181" s="700"/>
      <c r="I181" s="700"/>
      <c r="J181" s="700"/>
      <c r="K181" s="700"/>
      <c r="L181" s="700"/>
      <c r="M181" s="700"/>
      <c r="N181" s="700"/>
      <c r="O181" s="700"/>
      <c r="P181" s="700"/>
      <c r="Q181" s="700"/>
      <c r="R181" s="700"/>
      <c r="S181" s="700"/>
      <c r="T181" s="700"/>
      <c r="U181" s="700"/>
      <c r="X181" s="638"/>
    </row>
    <row r="182" spans="1:24" s="642" customFormat="1">
      <c r="A182" s="698"/>
      <c r="B182" s="699"/>
      <c r="C182" s="700"/>
      <c r="D182" s="700"/>
      <c r="E182" s="700"/>
      <c r="F182" s="700"/>
      <c r="G182" s="700"/>
      <c r="H182" s="700"/>
      <c r="I182" s="700"/>
      <c r="J182" s="700"/>
      <c r="K182" s="700"/>
      <c r="L182" s="700"/>
      <c r="M182" s="700"/>
      <c r="N182" s="700"/>
      <c r="O182" s="700"/>
      <c r="P182" s="700"/>
      <c r="Q182" s="700"/>
      <c r="R182" s="700"/>
      <c r="S182" s="700"/>
      <c r="T182" s="700"/>
      <c r="U182" s="700"/>
      <c r="X182" s="638"/>
    </row>
    <row r="183" spans="1:24" s="642" customFormat="1">
      <c r="A183" s="698"/>
      <c r="B183" s="699"/>
      <c r="C183" s="700"/>
      <c r="D183" s="700"/>
      <c r="E183" s="700"/>
      <c r="F183" s="700"/>
      <c r="G183" s="700"/>
      <c r="H183" s="700"/>
      <c r="I183" s="700"/>
      <c r="J183" s="700"/>
      <c r="K183" s="700"/>
      <c r="L183" s="700"/>
      <c r="M183" s="700"/>
      <c r="N183" s="700"/>
      <c r="O183" s="700"/>
      <c r="P183" s="700"/>
      <c r="Q183" s="700"/>
      <c r="R183" s="700"/>
      <c r="S183" s="700"/>
      <c r="T183" s="700"/>
      <c r="U183" s="700"/>
      <c r="X183" s="638"/>
    </row>
    <row r="184" spans="1:24" s="642" customFormat="1">
      <c r="A184" s="698"/>
      <c r="B184" s="699"/>
      <c r="C184" s="700"/>
      <c r="D184" s="700"/>
      <c r="E184" s="700"/>
      <c r="F184" s="700"/>
      <c r="G184" s="700"/>
      <c r="H184" s="700"/>
      <c r="I184" s="700"/>
      <c r="J184" s="700"/>
      <c r="K184" s="700"/>
      <c r="L184" s="700"/>
      <c r="M184" s="700"/>
      <c r="N184" s="700"/>
      <c r="O184" s="700"/>
      <c r="P184" s="700"/>
      <c r="Q184" s="700"/>
      <c r="R184" s="700"/>
      <c r="S184" s="700"/>
      <c r="T184" s="700"/>
      <c r="U184" s="700"/>
      <c r="X184" s="638"/>
    </row>
    <row r="185" spans="1:24" s="642" customFormat="1">
      <c r="A185" s="698"/>
      <c r="B185" s="699"/>
      <c r="C185" s="700"/>
      <c r="D185" s="700"/>
      <c r="E185" s="700"/>
      <c r="F185" s="700"/>
      <c r="G185" s="700"/>
      <c r="H185" s="700"/>
      <c r="I185" s="700"/>
      <c r="J185" s="700"/>
      <c r="K185" s="700"/>
      <c r="L185" s="700"/>
      <c r="M185" s="700"/>
      <c r="N185" s="700"/>
      <c r="O185" s="700"/>
      <c r="P185" s="700"/>
      <c r="Q185" s="700"/>
      <c r="R185" s="700"/>
      <c r="S185" s="700"/>
      <c r="T185" s="700"/>
      <c r="U185" s="700"/>
      <c r="X185" s="638"/>
    </row>
    <row r="186" spans="1:24" s="642" customFormat="1">
      <c r="A186" s="698"/>
      <c r="B186" s="699"/>
      <c r="C186" s="700"/>
      <c r="D186" s="700"/>
      <c r="E186" s="700"/>
      <c r="F186" s="700"/>
      <c r="G186" s="700"/>
      <c r="H186" s="700"/>
      <c r="I186" s="700"/>
      <c r="J186" s="700"/>
      <c r="K186" s="700"/>
      <c r="L186" s="700"/>
      <c r="M186" s="700"/>
      <c r="N186" s="700"/>
      <c r="O186" s="700"/>
      <c r="P186" s="700"/>
      <c r="Q186" s="700"/>
      <c r="R186" s="700"/>
      <c r="S186" s="700"/>
      <c r="T186" s="700"/>
      <c r="U186" s="700"/>
      <c r="X186" s="638"/>
    </row>
    <row r="187" spans="1:24" s="642" customFormat="1">
      <c r="A187" s="698"/>
      <c r="B187" s="699"/>
      <c r="C187" s="700"/>
      <c r="D187" s="700"/>
      <c r="E187" s="700"/>
      <c r="F187" s="700"/>
      <c r="G187" s="700"/>
      <c r="H187" s="700"/>
      <c r="I187" s="700"/>
      <c r="J187" s="700"/>
      <c r="K187" s="700"/>
      <c r="L187" s="700"/>
      <c r="M187" s="700"/>
      <c r="N187" s="700"/>
      <c r="O187" s="700"/>
      <c r="P187" s="700"/>
      <c r="Q187" s="700"/>
      <c r="R187" s="700"/>
      <c r="S187" s="700"/>
      <c r="T187" s="700"/>
      <c r="U187" s="700"/>
      <c r="X187" s="638"/>
    </row>
    <row r="188" spans="1:24" s="642" customFormat="1">
      <c r="A188" s="698"/>
      <c r="B188" s="699"/>
      <c r="C188" s="700"/>
      <c r="D188" s="700"/>
      <c r="E188" s="700"/>
      <c r="F188" s="700"/>
      <c r="G188" s="700"/>
      <c r="H188" s="700"/>
      <c r="I188" s="700"/>
      <c r="J188" s="700"/>
      <c r="K188" s="700"/>
      <c r="L188" s="700"/>
      <c r="M188" s="700"/>
      <c r="N188" s="700"/>
      <c r="O188" s="700"/>
      <c r="P188" s="700"/>
      <c r="Q188" s="700"/>
      <c r="R188" s="700"/>
      <c r="S188" s="700"/>
      <c r="T188" s="700"/>
      <c r="U188" s="700"/>
      <c r="X188" s="638"/>
    </row>
    <row r="189" spans="1:24" s="642" customFormat="1">
      <c r="A189" s="698"/>
      <c r="B189" s="699"/>
      <c r="C189" s="700"/>
      <c r="D189" s="700"/>
      <c r="E189" s="700"/>
      <c r="F189" s="700"/>
      <c r="G189" s="700"/>
      <c r="H189" s="700"/>
      <c r="I189" s="700"/>
      <c r="J189" s="700"/>
      <c r="K189" s="700"/>
      <c r="L189" s="700"/>
      <c r="M189" s="700"/>
      <c r="N189" s="700"/>
      <c r="O189" s="700"/>
      <c r="P189" s="700"/>
      <c r="Q189" s="700"/>
      <c r="R189" s="700"/>
      <c r="S189" s="700"/>
      <c r="T189" s="700"/>
      <c r="U189" s="700"/>
      <c r="X189" s="638"/>
    </row>
    <row r="190" spans="1:24" s="642" customFormat="1">
      <c r="A190" s="698"/>
      <c r="B190" s="699"/>
      <c r="C190" s="700"/>
      <c r="D190" s="700"/>
      <c r="E190" s="700"/>
      <c r="F190" s="700"/>
      <c r="G190" s="700"/>
      <c r="H190" s="700"/>
      <c r="I190" s="700"/>
      <c r="J190" s="700"/>
      <c r="K190" s="700"/>
      <c r="L190" s="700"/>
      <c r="M190" s="700"/>
      <c r="N190" s="700"/>
      <c r="O190" s="700"/>
      <c r="P190" s="700"/>
      <c r="Q190" s="700"/>
      <c r="R190" s="700"/>
      <c r="S190" s="700"/>
      <c r="T190" s="700"/>
      <c r="U190" s="700"/>
      <c r="X190" s="638"/>
    </row>
    <row r="191" spans="1:24" s="642" customFormat="1">
      <c r="A191" s="698"/>
      <c r="B191" s="699"/>
      <c r="C191" s="700"/>
      <c r="D191" s="700"/>
      <c r="E191" s="700"/>
      <c r="F191" s="700"/>
      <c r="G191" s="700"/>
      <c r="H191" s="700"/>
      <c r="I191" s="700"/>
      <c r="J191" s="700"/>
      <c r="K191" s="700"/>
      <c r="L191" s="700"/>
      <c r="M191" s="700"/>
      <c r="N191" s="700"/>
      <c r="O191" s="700"/>
      <c r="P191" s="700"/>
      <c r="Q191" s="700"/>
      <c r="R191" s="700"/>
      <c r="S191" s="700"/>
      <c r="T191" s="700"/>
      <c r="U191" s="700"/>
      <c r="X191" s="638"/>
    </row>
    <row r="192" spans="1:24" s="642" customFormat="1">
      <c r="A192" s="698"/>
      <c r="B192" s="699"/>
      <c r="C192" s="700"/>
      <c r="D192" s="700"/>
      <c r="E192" s="700"/>
      <c r="F192" s="700"/>
      <c r="G192" s="700"/>
      <c r="H192" s="700"/>
      <c r="I192" s="700"/>
      <c r="J192" s="700"/>
      <c r="K192" s="700"/>
      <c r="L192" s="700"/>
      <c r="M192" s="700"/>
      <c r="N192" s="700"/>
      <c r="O192" s="700"/>
      <c r="P192" s="700"/>
      <c r="Q192" s="700"/>
      <c r="R192" s="700"/>
      <c r="S192" s="700"/>
      <c r="T192" s="700"/>
      <c r="U192" s="700"/>
      <c r="X192" s="638"/>
    </row>
    <row r="193" spans="1:24" s="642" customFormat="1">
      <c r="A193" s="698"/>
      <c r="B193" s="699"/>
      <c r="C193" s="700"/>
      <c r="D193" s="700"/>
      <c r="E193" s="700"/>
      <c r="F193" s="700"/>
      <c r="G193" s="700"/>
      <c r="H193" s="700"/>
      <c r="I193" s="700"/>
      <c r="J193" s="700"/>
      <c r="K193" s="700"/>
      <c r="L193" s="700"/>
      <c r="M193" s="700"/>
      <c r="N193" s="700"/>
      <c r="O193" s="700"/>
      <c r="P193" s="700"/>
      <c r="Q193" s="700"/>
      <c r="R193" s="700"/>
      <c r="S193" s="700"/>
      <c r="T193" s="700"/>
      <c r="U193" s="700"/>
      <c r="X193" s="638"/>
    </row>
    <row r="194" spans="1:24" s="642" customFormat="1">
      <c r="A194" s="698"/>
      <c r="B194" s="699"/>
      <c r="C194" s="700"/>
      <c r="D194" s="700"/>
      <c r="E194" s="700"/>
      <c r="F194" s="700"/>
      <c r="G194" s="700"/>
      <c r="H194" s="700"/>
      <c r="I194" s="700"/>
      <c r="J194" s="700"/>
      <c r="K194" s="700"/>
      <c r="L194" s="700"/>
      <c r="M194" s="700"/>
      <c r="N194" s="700"/>
      <c r="O194" s="700"/>
      <c r="P194" s="700"/>
      <c r="Q194" s="700"/>
      <c r="R194" s="700"/>
      <c r="S194" s="700"/>
      <c r="T194" s="700"/>
      <c r="U194" s="700"/>
      <c r="X194" s="638"/>
    </row>
    <row r="195" spans="1:24" s="642" customFormat="1">
      <c r="A195" s="698"/>
      <c r="B195" s="699"/>
      <c r="C195" s="700"/>
      <c r="D195" s="700"/>
      <c r="E195" s="700"/>
      <c r="F195" s="700"/>
      <c r="G195" s="700"/>
      <c r="H195" s="700"/>
      <c r="I195" s="700"/>
      <c r="J195" s="700"/>
      <c r="K195" s="700"/>
      <c r="L195" s="700"/>
      <c r="M195" s="700"/>
      <c r="N195" s="700"/>
      <c r="O195" s="700"/>
      <c r="P195" s="700"/>
      <c r="Q195" s="700"/>
      <c r="R195" s="700"/>
      <c r="S195" s="700"/>
      <c r="T195" s="700"/>
      <c r="U195" s="700"/>
      <c r="X195" s="638"/>
    </row>
    <row r="196" spans="1:24" s="642" customFormat="1">
      <c r="A196" s="698"/>
      <c r="B196" s="699"/>
      <c r="C196" s="700"/>
      <c r="D196" s="700"/>
      <c r="E196" s="700"/>
      <c r="F196" s="700"/>
      <c r="G196" s="700"/>
      <c r="H196" s="700"/>
      <c r="I196" s="700"/>
      <c r="J196" s="700"/>
      <c r="K196" s="700"/>
      <c r="L196" s="700"/>
      <c r="M196" s="700"/>
      <c r="N196" s="700"/>
      <c r="O196" s="700"/>
      <c r="P196" s="700"/>
      <c r="Q196" s="700"/>
      <c r="R196" s="700"/>
      <c r="S196" s="700"/>
      <c r="T196" s="700"/>
      <c r="U196" s="700"/>
      <c r="X196" s="638"/>
    </row>
    <row r="197" spans="1:24" s="642" customFormat="1">
      <c r="A197" s="698"/>
      <c r="B197" s="699"/>
      <c r="C197" s="700"/>
      <c r="D197" s="700"/>
      <c r="E197" s="700"/>
      <c r="F197" s="700"/>
      <c r="G197" s="700"/>
      <c r="H197" s="700"/>
      <c r="I197" s="700"/>
      <c r="J197" s="700"/>
      <c r="K197" s="700"/>
      <c r="L197" s="700"/>
      <c r="M197" s="700"/>
      <c r="N197" s="700"/>
      <c r="O197" s="700"/>
      <c r="P197" s="700"/>
      <c r="Q197" s="700"/>
      <c r="R197" s="700"/>
      <c r="S197" s="700"/>
      <c r="T197" s="700"/>
      <c r="U197" s="700"/>
      <c r="X197" s="638"/>
    </row>
    <row r="198" spans="1:24" s="642" customFormat="1">
      <c r="A198" s="698"/>
      <c r="B198" s="699"/>
      <c r="C198" s="700"/>
      <c r="D198" s="700"/>
      <c r="E198" s="700"/>
      <c r="F198" s="700"/>
      <c r="G198" s="700"/>
      <c r="H198" s="700"/>
      <c r="I198" s="700"/>
      <c r="J198" s="700"/>
      <c r="K198" s="700"/>
      <c r="L198" s="700"/>
      <c r="M198" s="700"/>
      <c r="N198" s="700"/>
      <c r="O198" s="700"/>
      <c r="P198" s="700"/>
      <c r="Q198" s="700"/>
      <c r="R198" s="700"/>
      <c r="S198" s="700"/>
      <c r="T198" s="700"/>
      <c r="U198" s="700"/>
      <c r="X198" s="638"/>
    </row>
    <row r="199" spans="1:24" s="642" customFormat="1">
      <c r="A199" s="698"/>
      <c r="B199" s="699"/>
      <c r="C199" s="700"/>
      <c r="D199" s="700"/>
      <c r="E199" s="700"/>
      <c r="F199" s="700"/>
      <c r="G199" s="700"/>
      <c r="H199" s="700"/>
      <c r="I199" s="700"/>
      <c r="J199" s="700"/>
      <c r="K199" s="700"/>
      <c r="L199" s="700"/>
      <c r="M199" s="700"/>
      <c r="N199" s="700"/>
      <c r="O199" s="700"/>
      <c r="P199" s="700"/>
      <c r="Q199" s="700"/>
      <c r="R199" s="700"/>
      <c r="S199" s="700"/>
      <c r="T199" s="700"/>
      <c r="U199" s="700"/>
      <c r="X199" s="638"/>
    </row>
    <row r="200" spans="1:24" s="642" customFormat="1">
      <c r="A200" s="698"/>
      <c r="B200" s="699"/>
      <c r="C200" s="700"/>
      <c r="D200" s="700"/>
      <c r="E200" s="700"/>
      <c r="F200" s="700"/>
      <c r="G200" s="700"/>
      <c r="H200" s="700"/>
      <c r="I200" s="700"/>
      <c r="J200" s="700"/>
      <c r="K200" s="700"/>
      <c r="L200" s="700"/>
      <c r="M200" s="700"/>
      <c r="N200" s="700"/>
      <c r="O200" s="700"/>
      <c r="P200" s="700"/>
      <c r="Q200" s="700"/>
      <c r="R200" s="700"/>
      <c r="S200" s="700"/>
      <c r="T200" s="700"/>
      <c r="U200" s="700"/>
      <c r="X200" s="638"/>
    </row>
    <row r="201" spans="1:24" s="642" customFormat="1">
      <c r="A201" s="698"/>
      <c r="B201" s="699"/>
      <c r="C201" s="700"/>
      <c r="D201" s="700"/>
      <c r="E201" s="700"/>
      <c r="F201" s="700"/>
      <c r="G201" s="700"/>
      <c r="H201" s="700"/>
      <c r="I201" s="700"/>
      <c r="J201" s="700"/>
      <c r="K201" s="700"/>
      <c r="L201" s="700"/>
      <c r="M201" s="700"/>
      <c r="N201" s="700"/>
      <c r="O201" s="700"/>
      <c r="P201" s="700"/>
      <c r="Q201" s="700"/>
      <c r="R201" s="700"/>
      <c r="S201" s="700"/>
      <c r="T201" s="700"/>
      <c r="U201" s="700"/>
      <c r="X201" s="638"/>
    </row>
    <row r="202" spans="1:24" s="642" customFormat="1">
      <c r="A202" s="698"/>
      <c r="B202" s="699"/>
      <c r="C202" s="700"/>
      <c r="D202" s="700"/>
      <c r="E202" s="700"/>
      <c r="F202" s="700"/>
      <c r="G202" s="700"/>
      <c r="H202" s="700"/>
      <c r="I202" s="700"/>
      <c r="J202" s="700"/>
      <c r="K202" s="700"/>
      <c r="L202" s="700"/>
      <c r="M202" s="700"/>
      <c r="N202" s="700"/>
      <c r="O202" s="700"/>
      <c r="P202" s="700"/>
      <c r="Q202" s="700"/>
      <c r="R202" s="700"/>
      <c r="S202" s="700"/>
      <c r="T202" s="700"/>
      <c r="U202" s="700"/>
      <c r="X202" s="638"/>
    </row>
    <row r="203" spans="1:24" s="642" customFormat="1">
      <c r="A203" s="698"/>
      <c r="B203" s="699"/>
      <c r="C203" s="700"/>
      <c r="D203" s="700"/>
      <c r="E203" s="700"/>
      <c r="F203" s="700"/>
      <c r="G203" s="700"/>
      <c r="H203" s="700"/>
      <c r="I203" s="700"/>
      <c r="J203" s="700"/>
      <c r="K203" s="700"/>
      <c r="L203" s="700"/>
      <c r="M203" s="700"/>
      <c r="N203" s="700"/>
      <c r="O203" s="700"/>
      <c r="P203" s="700"/>
      <c r="Q203" s="700"/>
      <c r="R203" s="700"/>
      <c r="S203" s="700"/>
      <c r="T203" s="700"/>
      <c r="U203" s="700"/>
      <c r="X203" s="638"/>
    </row>
    <row r="204" spans="1:24" s="642" customFormat="1">
      <c r="A204" s="698"/>
      <c r="B204" s="699"/>
      <c r="C204" s="700"/>
      <c r="D204" s="700"/>
      <c r="E204" s="700"/>
      <c r="F204" s="700"/>
      <c r="G204" s="700"/>
      <c r="H204" s="700"/>
      <c r="I204" s="700"/>
      <c r="J204" s="700"/>
      <c r="K204" s="700"/>
      <c r="L204" s="700"/>
      <c r="M204" s="700"/>
      <c r="N204" s="700"/>
      <c r="O204" s="700"/>
      <c r="P204" s="700"/>
      <c r="Q204" s="700"/>
      <c r="R204" s="700"/>
      <c r="S204" s="700"/>
      <c r="T204" s="700"/>
      <c r="U204" s="700"/>
      <c r="X204" s="638"/>
    </row>
    <row r="205" spans="1:24" s="642" customFormat="1">
      <c r="A205" s="698"/>
      <c r="B205" s="699"/>
      <c r="C205" s="700"/>
      <c r="D205" s="700"/>
      <c r="E205" s="700"/>
      <c r="F205" s="700"/>
      <c r="G205" s="700"/>
      <c r="H205" s="700"/>
      <c r="I205" s="700"/>
      <c r="J205" s="700"/>
      <c r="K205" s="700"/>
      <c r="L205" s="700"/>
      <c r="M205" s="700"/>
      <c r="N205" s="700"/>
      <c r="O205" s="700"/>
      <c r="P205" s="700"/>
      <c r="Q205" s="700"/>
      <c r="R205" s="700"/>
      <c r="S205" s="700"/>
      <c r="T205" s="700"/>
      <c r="U205" s="700"/>
      <c r="X205" s="638"/>
    </row>
    <row r="206" spans="1:24" s="642" customFormat="1">
      <c r="A206" s="698"/>
      <c r="B206" s="699"/>
      <c r="C206" s="700"/>
      <c r="D206" s="700"/>
      <c r="E206" s="700"/>
      <c r="F206" s="700"/>
      <c r="G206" s="700"/>
      <c r="H206" s="700"/>
      <c r="I206" s="700"/>
      <c r="J206" s="700"/>
      <c r="K206" s="700"/>
      <c r="L206" s="700"/>
      <c r="M206" s="700"/>
      <c r="N206" s="700"/>
      <c r="O206" s="700"/>
      <c r="P206" s="700"/>
      <c r="Q206" s="700"/>
      <c r="R206" s="700"/>
      <c r="S206" s="700"/>
      <c r="T206" s="700"/>
      <c r="U206" s="700"/>
      <c r="X206" s="638"/>
    </row>
    <row r="207" spans="1:24" s="642" customFormat="1">
      <c r="A207" s="698"/>
      <c r="B207" s="699"/>
      <c r="C207" s="700"/>
      <c r="D207" s="700"/>
      <c r="E207" s="700"/>
      <c r="F207" s="700"/>
      <c r="G207" s="700"/>
      <c r="H207" s="700"/>
      <c r="I207" s="700"/>
      <c r="J207" s="700"/>
      <c r="K207" s="700"/>
      <c r="L207" s="700"/>
      <c r="M207" s="700"/>
      <c r="N207" s="700"/>
      <c r="O207" s="700"/>
      <c r="P207" s="700"/>
      <c r="Q207" s="700"/>
      <c r="R207" s="700"/>
      <c r="S207" s="700"/>
      <c r="T207" s="700"/>
      <c r="U207" s="700"/>
      <c r="X207" s="638"/>
    </row>
    <row r="208" spans="1:24" s="642" customFormat="1">
      <c r="A208" s="698"/>
      <c r="B208" s="699"/>
      <c r="C208" s="700"/>
      <c r="D208" s="700"/>
      <c r="E208" s="700"/>
      <c r="F208" s="700"/>
      <c r="G208" s="700"/>
      <c r="H208" s="700"/>
      <c r="I208" s="700"/>
      <c r="J208" s="700"/>
      <c r="K208" s="700"/>
      <c r="L208" s="700"/>
      <c r="M208" s="700"/>
      <c r="N208" s="700"/>
      <c r="O208" s="700"/>
      <c r="P208" s="700"/>
      <c r="Q208" s="700"/>
      <c r="R208" s="700"/>
      <c r="S208" s="700"/>
      <c r="T208" s="700"/>
      <c r="U208" s="700"/>
      <c r="X208" s="638"/>
    </row>
    <row r="209" spans="1:24" s="642" customFormat="1">
      <c r="A209" s="698"/>
      <c r="B209" s="699"/>
      <c r="C209" s="700"/>
      <c r="D209" s="700"/>
      <c r="E209" s="700"/>
      <c r="F209" s="700"/>
      <c r="G209" s="700"/>
      <c r="H209" s="700"/>
      <c r="I209" s="700"/>
      <c r="J209" s="700"/>
      <c r="K209" s="700"/>
      <c r="L209" s="700"/>
      <c r="M209" s="700"/>
      <c r="N209" s="700"/>
      <c r="O209" s="700"/>
      <c r="P209" s="700"/>
      <c r="Q209" s="700"/>
      <c r="R209" s="700"/>
      <c r="S209" s="700"/>
      <c r="T209" s="700"/>
      <c r="U209" s="700"/>
      <c r="X209" s="638"/>
    </row>
    <row r="210" spans="1:24" s="642" customFormat="1">
      <c r="A210" s="698"/>
      <c r="B210" s="699"/>
      <c r="C210" s="700"/>
      <c r="D210" s="700"/>
      <c r="E210" s="700"/>
      <c r="F210" s="700"/>
      <c r="G210" s="700"/>
      <c r="H210" s="700"/>
      <c r="I210" s="700"/>
      <c r="J210" s="700"/>
      <c r="K210" s="700"/>
      <c r="L210" s="700"/>
      <c r="M210" s="700"/>
      <c r="N210" s="700"/>
      <c r="O210" s="700"/>
      <c r="P210" s="700"/>
      <c r="Q210" s="700"/>
      <c r="R210" s="700"/>
      <c r="S210" s="700"/>
      <c r="T210" s="700"/>
      <c r="U210" s="700"/>
      <c r="X210" s="638"/>
    </row>
  </sheetData>
  <sheetProtection algorithmName="SHA-512" hashValue="e0uXHE3huojySDTGHpLUuy1ha7AA2bCM9Jek0iaNkZHLSmg780CBbJU5jsSnR3fj3+vKoy88mFoVl4kR7CxmuA==" saltValue="IC389II5zPP8Lxh0ap60lA==" spinCount="100000" sheet="1" objects="1" scenarios="1"/>
  <pageMargins left="0.7" right="0.7" top="0.75" bottom="0.75" header="0.3" footer="0.3"/>
  <pageSetup paperSize="9" scale="70" orientation="landscape" horizontalDpi="1200" verticalDpi="1200" r:id="rId1"/>
  <rowBreaks count="1" manualBreakCount="1">
    <brk id="28" max="22"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DU465"/>
  <sheetViews>
    <sheetView view="pageBreakPreview" topLeftCell="A61" zoomScaleNormal="25" zoomScaleSheetLayoutView="100" workbookViewId="0">
      <selection activeCell="C98" sqref="C98"/>
    </sheetView>
  </sheetViews>
  <sheetFormatPr defaultRowHeight="14.25"/>
  <cols>
    <col min="1" max="1" width="12.85546875" style="962" customWidth="1"/>
    <col min="2" max="2" width="70.7109375" style="1067" customWidth="1"/>
    <col min="3" max="3" width="15" style="1429" customWidth="1"/>
    <col min="4" max="4" width="11.7109375" style="953" customWidth="1"/>
    <col min="5" max="5" width="14.140625" style="604" hidden="1" customWidth="1"/>
    <col min="6" max="6" width="14.85546875" style="604" hidden="1" customWidth="1"/>
    <col min="7" max="7" width="15.5703125" style="604" hidden="1" customWidth="1"/>
    <col min="8" max="8" width="15.28515625" style="606" hidden="1" customWidth="1"/>
    <col min="9" max="9" width="15.140625" style="606" hidden="1" customWidth="1"/>
    <col min="10" max="10" width="16" style="606" hidden="1" customWidth="1"/>
    <col min="11" max="11" width="18.85546875" style="606" hidden="1" customWidth="1"/>
    <col min="12" max="12" width="16.7109375" style="606" hidden="1" customWidth="1"/>
    <col min="13" max="13" width="21" style="606" hidden="1" customWidth="1"/>
    <col min="14" max="15" width="20.7109375" style="601" customWidth="1"/>
    <col min="16" max="16" width="26.7109375" style="677" customWidth="1"/>
    <col min="17" max="17" width="30.140625" style="642" customWidth="1"/>
    <col min="18" max="125" width="9.140625" style="642"/>
    <col min="126" max="16384" width="9.140625" style="594"/>
  </cols>
  <sheetData>
    <row r="1" spans="1:125" s="616" customFormat="1" ht="18" customHeight="1">
      <c r="A1" s="1190" t="s">
        <v>2369</v>
      </c>
      <c r="B1" s="656"/>
      <c r="C1" s="1334"/>
      <c r="D1" s="657"/>
      <c r="E1" s="1309" t="s">
        <v>2371</v>
      </c>
      <c r="F1" s="1309"/>
      <c r="G1" s="1309"/>
      <c r="H1" s="1308" t="s">
        <v>2372</v>
      </c>
      <c r="I1" s="1308"/>
      <c r="J1" s="1308"/>
      <c r="K1" s="1308"/>
      <c r="L1" s="1308"/>
      <c r="M1" s="1308"/>
      <c r="N1" s="658"/>
      <c r="O1" s="658"/>
      <c r="P1" s="675"/>
      <c r="Q1" s="685"/>
      <c r="R1" s="685"/>
      <c r="S1" s="685"/>
      <c r="T1" s="685"/>
      <c r="U1" s="685"/>
      <c r="V1" s="685"/>
      <c r="W1" s="685"/>
      <c r="X1" s="685"/>
      <c r="Y1" s="685"/>
      <c r="Z1" s="685"/>
      <c r="AA1" s="685"/>
      <c r="AB1" s="685"/>
      <c r="AC1" s="685"/>
      <c r="AD1" s="685"/>
      <c r="AE1" s="685"/>
      <c r="AF1" s="685"/>
      <c r="AG1" s="685"/>
      <c r="AH1" s="685"/>
      <c r="AI1" s="685"/>
      <c r="AJ1" s="685"/>
      <c r="AK1" s="685"/>
      <c r="AL1" s="685"/>
      <c r="AM1" s="685"/>
      <c r="AN1" s="685"/>
      <c r="AO1" s="685"/>
      <c r="AP1" s="685"/>
      <c r="AQ1" s="685"/>
      <c r="AR1" s="685"/>
      <c r="AS1" s="685"/>
      <c r="AT1" s="685"/>
      <c r="AU1" s="685"/>
      <c r="AV1" s="685"/>
      <c r="AW1" s="685"/>
      <c r="AX1" s="685"/>
      <c r="AY1" s="685"/>
      <c r="AZ1" s="685"/>
      <c r="BA1" s="685"/>
      <c r="BB1" s="685"/>
      <c r="BC1" s="685"/>
      <c r="BD1" s="685"/>
      <c r="BE1" s="685"/>
      <c r="BF1" s="685"/>
      <c r="BG1" s="685"/>
      <c r="BH1" s="685"/>
      <c r="BI1" s="685"/>
      <c r="BJ1" s="685"/>
      <c r="BK1" s="685"/>
      <c r="BL1" s="685"/>
      <c r="BM1" s="685"/>
      <c r="BN1" s="685"/>
      <c r="BO1" s="685"/>
      <c r="BP1" s="685"/>
      <c r="BQ1" s="685"/>
      <c r="BR1" s="685"/>
      <c r="BS1" s="685"/>
      <c r="BT1" s="685"/>
      <c r="BU1" s="685"/>
      <c r="BV1" s="685"/>
      <c r="BW1" s="685"/>
      <c r="BX1" s="685"/>
      <c r="BY1" s="685"/>
      <c r="BZ1" s="685"/>
      <c r="CA1" s="685"/>
      <c r="CB1" s="685"/>
      <c r="CC1" s="685"/>
      <c r="CD1" s="685"/>
      <c r="CE1" s="685"/>
      <c r="CF1" s="685"/>
      <c r="CG1" s="685"/>
      <c r="CH1" s="685"/>
      <c r="CI1" s="685"/>
      <c r="CJ1" s="685"/>
      <c r="CK1" s="685"/>
      <c r="CL1" s="685"/>
      <c r="CM1" s="685"/>
      <c r="CN1" s="685"/>
      <c r="CO1" s="685"/>
      <c r="CP1" s="685"/>
      <c r="CQ1" s="685"/>
      <c r="CR1" s="685"/>
      <c r="CS1" s="685"/>
      <c r="CT1" s="685"/>
      <c r="CU1" s="685"/>
      <c r="CV1" s="685"/>
      <c r="CW1" s="685"/>
      <c r="CX1" s="685"/>
      <c r="CY1" s="685"/>
      <c r="CZ1" s="685"/>
      <c r="DA1" s="685"/>
      <c r="DB1" s="685"/>
      <c r="DC1" s="685"/>
      <c r="DD1" s="685"/>
      <c r="DE1" s="685"/>
      <c r="DF1" s="685"/>
      <c r="DG1" s="685"/>
      <c r="DH1" s="685"/>
      <c r="DI1" s="685"/>
      <c r="DJ1" s="685"/>
      <c r="DK1" s="685"/>
      <c r="DL1" s="685"/>
      <c r="DM1" s="685"/>
      <c r="DN1" s="685"/>
      <c r="DO1" s="685"/>
      <c r="DP1" s="685"/>
      <c r="DQ1" s="685"/>
      <c r="DR1" s="685"/>
      <c r="DS1" s="685"/>
      <c r="DT1" s="685"/>
      <c r="DU1" s="685"/>
    </row>
    <row r="2" spans="1:125" s="1195" customFormat="1" ht="40.5" customHeight="1">
      <c r="A2" s="1191"/>
      <c r="B2" s="1192"/>
      <c r="C2" s="1333"/>
      <c r="D2" s="1193"/>
      <c r="E2" s="1306" t="s">
        <v>2373</v>
      </c>
      <c r="F2" s="1306"/>
      <c r="G2" s="1306"/>
      <c r="H2" s="1307" t="s">
        <v>2374</v>
      </c>
      <c r="I2" s="1307"/>
      <c r="J2" s="1194" t="s">
        <v>2362</v>
      </c>
      <c r="K2" s="1194" t="s">
        <v>2363</v>
      </c>
      <c r="L2" s="1194" t="s">
        <v>2364</v>
      </c>
      <c r="M2" s="1194" t="s">
        <v>2365</v>
      </c>
      <c r="N2" s="1196"/>
      <c r="O2" s="1196"/>
      <c r="P2" s="1197"/>
      <c r="Q2" s="1317"/>
      <c r="R2" s="1317"/>
      <c r="S2" s="1317"/>
      <c r="T2" s="1317"/>
      <c r="U2" s="1317"/>
      <c r="V2" s="1317"/>
      <c r="W2" s="1317"/>
      <c r="X2" s="1317"/>
      <c r="Y2" s="1317"/>
      <c r="Z2" s="1317"/>
      <c r="AA2" s="1317"/>
      <c r="AB2" s="1317"/>
      <c r="AC2" s="1317"/>
      <c r="AD2" s="1317"/>
      <c r="AE2" s="1317"/>
      <c r="AF2" s="1317"/>
      <c r="AG2" s="1317"/>
      <c r="AH2" s="1317"/>
      <c r="AI2" s="1317"/>
      <c r="AJ2" s="1317"/>
      <c r="AK2" s="1317"/>
      <c r="AL2" s="1317"/>
      <c r="AM2" s="1317"/>
      <c r="AN2" s="1317"/>
      <c r="AO2" s="1317"/>
      <c r="AP2" s="1317"/>
      <c r="AQ2" s="1317"/>
      <c r="AR2" s="1317"/>
      <c r="AS2" s="1317"/>
      <c r="AT2" s="1317"/>
      <c r="AU2" s="1317"/>
      <c r="AV2" s="1317"/>
      <c r="AW2" s="1317"/>
      <c r="AX2" s="1317"/>
      <c r="AY2" s="1317"/>
      <c r="AZ2" s="1317"/>
      <c r="BA2" s="1317"/>
      <c r="BB2" s="1317"/>
      <c r="BC2" s="1317"/>
      <c r="BD2" s="1317"/>
      <c r="BE2" s="1317"/>
      <c r="BF2" s="1317"/>
      <c r="BG2" s="1317"/>
      <c r="BH2" s="1317"/>
      <c r="BI2" s="1317"/>
      <c r="BJ2" s="1317"/>
      <c r="BK2" s="1317"/>
      <c r="BL2" s="1317"/>
      <c r="BM2" s="1317"/>
      <c r="BN2" s="1317"/>
      <c r="BO2" s="1317"/>
      <c r="BP2" s="1317"/>
      <c r="BQ2" s="1317"/>
      <c r="BR2" s="1317"/>
      <c r="BS2" s="1317"/>
      <c r="BT2" s="1317"/>
      <c r="BU2" s="1317"/>
      <c r="BV2" s="1317"/>
      <c r="BW2" s="1317"/>
      <c r="BX2" s="1317"/>
      <c r="BY2" s="1317"/>
      <c r="BZ2" s="1317"/>
      <c r="CA2" s="1317"/>
      <c r="CB2" s="1317"/>
      <c r="CC2" s="1317"/>
      <c r="CD2" s="1317"/>
      <c r="CE2" s="1317"/>
      <c r="CF2" s="1317"/>
      <c r="CG2" s="1317"/>
      <c r="CH2" s="1317"/>
      <c r="CI2" s="1317"/>
      <c r="CJ2" s="1317"/>
      <c r="CK2" s="1317"/>
      <c r="CL2" s="1317"/>
      <c r="CM2" s="1317"/>
      <c r="CN2" s="1317"/>
      <c r="CO2" s="1317"/>
      <c r="CP2" s="1317"/>
      <c r="CQ2" s="1317"/>
      <c r="CR2" s="1317"/>
      <c r="CS2" s="1317"/>
      <c r="CT2" s="1317"/>
      <c r="CU2" s="1317"/>
      <c r="CV2" s="1317"/>
      <c r="CW2" s="1317"/>
      <c r="CX2" s="1317"/>
      <c r="CY2" s="1317"/>
      <c r="CZ2" s="1317"/>
      <c r="DA2" s="1317"/>
      <c r="DB2" s="1317"/>
      <c r="DC2" s="1317"/>
      <c r="DD2" s="1317"/>
      <c r="DE2" s="1317"/>
      <c r="DF2" s="1317"/>
      <c r="DG2" s="1317"/>
      <c r="DH2" s="1317"/>
      <c r="DI2" s="1317"/>
      <c r="DJ2" s="1317"/>
      <c r="DK2" s="1317"/>
      <c r="DL2" s="1317"/>
      <c r="DM2" s="1317"/>
      <c r="DN2" s="1317"/>
      <c r="DO2" s="1317"/>
      <c r="DP2" s="1317"/>
      <c r="DQ2" s="1317"/>
      <c r="DR2" s="1317"/>
      <c r="DS2" s="1317"/>
      <c r="DT2" s="1317"/>
      <c r="DU2" s="1317"/>
    </row>
    <row r="3" spans="1:125" s="1186" customFormat="1" ht="112.5">
      <c r="A3" s="1185" t="s">
        <v>222</v>
      </c>
      <c r="B3" s="1186" t="s">
        <v>372</v>
      </c>
      <c r="C3" s="1332" t="s">
        <v>230</v>
      </c>
      <c r="D3" s="1186" t="s">
        <v>224</v>
      </c>
      <c r="E3" s="1188" t="s">
        <v>2435</v>
      </c>
      <c r="F3" s="1188" t="s">
        <v>2433</v>
      </c>
      <c r="G3" s="1188" t="s">
        <v>2434</v>
      </c>
      <c r="H3" s="1189" t="s">
        <v>2376</v>
      </c>
      <c r="I3" s="1189" t="s">
        <v>2377</v>
      </c>
      <c r="J3" s="1189" t="s">
        <v>2378</v>
      </c>
      <c r="K3" s="1189" t="s">
        <v>2431</v>
      </c>
      <c r="L3" s="1189" t="s">
        <v>2379</v>
      </c>
      <c r="M3" s="1189" t="s">
        <v>2432</v>
      </c>
      <c r="N3" s="1186" t="s">
        <v>341</v>
      </c>
      <c r="O3" s="1186" t="s">
        <v>342</v>
      </c>
      <c r="P3" s="1187" t="s">
        <v>343</v>
      </c>
      <c r="Q3" s="1318"/>
      <c r="R3" s="1318"/>
      <c r="S3" s="1318"/>
      <c r="T3" s="1318"/>
      <c r="U3" s="1318"/>
      <c r="V3" s="1318"/>
      <c r="W3" s="1318"/>
      <c r="X3" s="1318"/>
      <c r="Y3" s="1318"/>
      <c r="Z3" s="1318"/>
      <c r="AA3" s="1318"/>
      <c r="AB3" s="1318"/>
      <c r="AC3" s="1318"/>
      <c r="AD3" s="1318"/>
      <c r="AE3" s="1318"/>
      <c r="AF3" s="1318"/>
      <c r="AG3" s="1318"/>
      <c r="AH3" s="1318"/>
      <c r="AI3" s="1318"/>
      <c r="AJ3" s="1318"/>
      <c r="AK3" s="1318"/>
      <c r="AL3" s="1318"/>
      <c r="AM3" s="1318"/>
      <c r="AN3" s="1318"/>
      <c r="AO3" s="1318"/>
      <c r="AP3" s="1318"/>
      <c r="AQ3" s="1318"/>
      <c r="AR3" s="1318"/>
      <c r="AS3" s="1318"/>
      <c r="AT3" s="1318"/>
      <c r="AU3" s="1318"/>
      <c r="AV3" s="1318"/>
      <c r="AW3" s="1318"/>
      <c r="AX3" s="1318"/>
      <c r="AY3" s="1318"/>
      <c r="AZ3" s="1318"/>
      <c r="BA3" s="1318"/>
      <c r="BB3" s="1318"/>
      <c r="BC3" s="1318"/>
      <c r="BD3" s="1318"/>
      <c r="BE3" s="1318"/>
      <c r="BF3" s="1318"/>
      <c r="BG3" s="1318"/>
      <c r="BH3" s="1318"/>
      <c r="BI3" s="1318"/>
      <c r="BJ3" s="1318"/>
      <c r="BK3" s="1318"/>
      <c r="BL3" s="1318"/>
      <c r="BM3" s="1318"/>
      <c r="BN3" s="1318"/>
      <c r="BO3" s="1318"/>
      <c r="BP3" s="1318"/>
      <c r="BQ3" s="1318"/>
      <c r="BR3" s="1318"/>
      <c r="BS3" s="1318"/>
      <c r="BT3" s="1318"/>
      <c r="BU3" s="1318"/>
      <c r="BV3" s="1318"/>
      <c r="BW3" s="1318"/>
      <c r="BX3" s="1318"/>
      <c r="BY3" s="1318"/>
      <c r="BZ3" s="1318"/>
      <c r="CA3" s="1318"/>
      <c r="CB3" s="1318"/>
      <c r="CC3" s="1318"/>
      <c r="CD3" s="1318"/>
      <c r="CE3" s="1318"/>
      <c r="CF3" s="1318"/>
      <c r="CG3" s="1318"/>
      <c r="CH3" s="1318"/>
      <c r="CI3" s="1318"/>
      <c r="CJ3" s="1318"/>
      <c r="CK3" s="1318"/>
      <c r="CL3" s="1318"/>
      <c r="CM3" s="1318"/>
      <c r="CN3" s="1318"/>
      <c r="CO3" s="1318"/>
      <c r="CP3" s="1318"/>
      <c r="CQ3" s="1318"/>
      <c r="CR3" s="1318"/>
      <c r="CS3" s="1318"/>
      <c r="CT3" s="1318"/>
      <c r="CU3" s="1318"/>
      <c r="CV3" s="1318"/>
      <c r="CW3" s="1318"/>
      <c r="CX3" s="1318"/>
      <c r="CY3" s="1318"/>
      <c r="CZ3" s="1318"/>
      <c r="DA3" s="1318"/>
      <c r="DB3" s="1318"/>
      <c r="DC3" s="1318"/>
      <c r="DD3" s="1318"/>
      <c r="DE3" s="1318"/>
      <c r="DF3" s="1318"/>
      <c r="DG3" s="1318"/>
      <c r="DH3" s="1318"/>
      <c r="DI3" s="1318"/>
      <c r="DJ3" s="1318"/>
      <c r="DK3" s="1318"/>
      <c r="DL3" s="1318"/>
      <c r="DM3" s="1318"/>
      <c r="DN3" s="1318"/>
      <c r="DO3" s="1318"/>
      <c r="DP3" s="1318"/>
      <c r="DQ3" s="1318"/>
      <c r="DR3" s="1318"/>
      <c r="DS3" s="1318"/>
      <c r="DT3" s="1318"/>
      <c r="DU3" s="1318"/>
    </row>
    <row r="4" spans="1:125" s="990" customFormat="1" ht="24.75" customHeight="1">
      <c r="A4" s="1145" t="s">
        <v>10</v>
      </c>
      <c r="B4" s="1142" t="s">
        <v>371</v>
      </c>
      <c r="C4" s="1158" t="s">
        <v>2264</v>
      </c>
      <c r="D4" s="985"/>
      <c r="E4" s="985"/>
      <c r="F4" s="985"/>
      <c r="G4" s="985"/>
      <c r="H4" s="985"/>
      <c r="I4" s="985"/>
      <c r="J4" s="985"/>
      <c r="K4" s="985"/>
      <c r="L4" s="985"/>
      <c r="M4" s="985"/>
      <c r="N4" s="985"/>
      <c r="O4" s="1143"/>
      <c r="P4" s="1144">
        <f>P5+P13+P78+P98+P118+P145+P230</f>
        <v>0</v>
      </c>
      <c r="Q4" s="1319"/>
      <c r="R4" s="1319"/>
      <c r="S4" s="1319"/>
      <c r="T4" s="1319"/>
      <c r="U4" s="1319"/>
      <c r="V4" s="1319"/>
      <c r="W4" s="1319"/>
      <c r="X4" s="1319"/>
      <c r="Y4" s="1319"/>
      <c r="Z4" s="1319"/>
      <c r="AA4" s="1319"/>
      <c r="AB4" s="1319"/>
      <c r="AC4" s="1319"/>
      <c r="AD4" s="1319"/>
      <c r="AE4" s="1319"/>
      <c r="AF4" s="1319"/>
      <c r="AG4" s="1319"/>
      <c r="AH4" s="1319"/>
      <c r="AI4" s="1319"/>
      <c r="AJ4" s="1319"/>
      <c r="AK4" s="1319"/>
      <c r="AL4" s="1319"/>
      <c r="AM4" s="1319"/>
      <c r="AN4" s="1319"/>
      <c r="AO4" s="1319"/>
      <c r="AP4" s="1319"/>
      <c r="AQ4" s="1319"/>
      <c r="AR4" s="1319"/>
      <c r="AS4" s="1319"/>
      <c r="AT4" s="1319"/>
      <c r="AU4" s="1319"/>
      <c r="AV4" s="1319"/>
      <c r="AW4" s="1319"/>
      <c r="AX4" s="1319"/>
      <c r="AY4" s="1319"/>
      <c r="AZ4" s="1319"/>
      <c r="BA4" s="1319"/>
      <c r="BB4" s="1319"/>
      <c r="BC4" s="1319"/>
      <c r="BD4" s="1319"/>
      <c r="BE4" s="1319"/>
      <c r="BF4" s="1319"/>
      <c r="BG4" s="1319"/>
      <c r="BH4" s="1319"/>
      <c r="BI4" s="1319"/>
      <c r="BJ4" s="1319"/>
      <c r="BK4" s="1319"/>
      <c r="BL4" s="1319"/>
      <c r="BM4" s="1319"/>
      <c r="BN4" s="1319"/>
      <c r="BO4" s="1319"/>
      <c r="BP4" s="1319"/>
      <c r="BQ4" s="1319"/>
      <c r="BR4" s="1319"/>
      <c r="BS4" s="1319"/>
      <c r="BT4" s="1319"/>
      <c r="BU4" s="1319"/>
      <c r="BV4" s="1319"/>
      <c r="BW4" s="1319"/>
      <c r="BX4" s="1319"/>
      <c r="BY4" s="1319"/>
      <c r="BZ4" s="1319"/>
      <c r="CA4" s="1319"/>
      <c r="CB4" s="1319"/>
      <c r="CC4" s="1319"/>
      <c r="CD4" s="1319"/>
      <c r="CE4" s="1319"/>
      <c r="CF4" s="1319"/>
      <c r="CG4" s="1319"/>
      <c r="CH4" s="1319"/>
      <c r="CI4" s="1319"/>
      <c r="CJ4" s="1319"/>
      <c r="CK4" s="1319"/>
      <c r="CL4" s="1319"/>
      <c r="CM4" s="1319"/>
      <c r="CN4" s="1319"/>
      <c r="CO4" s="1319"/>
      <c r="CP4" s="1319"/>
      <c r="CQ4" s="1319"/>
      <c r="CR4" s="1319"/>
      <c r="CS4" s="1319"/>
      <c r="CT4" s="1319"/>
      <c r="CU4" s="1319"/>
      <c r="CV4" s="1319"/>
      <c r="CW4" s="1319"/>
      <c r="CX4" s="1319"/>
      <c r="CY4" s="1319"/>
      <c r="CZ4" s="1319"/>
      <c r="DA4" s="1319"/>
      <c r="DB4" s="1319"/>
      <c r="DC4" s="1319"/>
      <c r="DD4" s="1319"/>
      <c r="DE4" s="1319"/>
      <c r="DF4" s="1319"/>
      <c r="DG4" s="1319"/>
      <c r="DH4" s="1319"/>
      <c r="DI4" s="1319"/>
      <c r="DJ4" s="1319"/>
      <c r="DK4" s="1319"/>
      <c r="DL4" s="1319"/>
      <c r="DM4" s="1319"/>
      <c r="DN4" s="1319"/>
      <c r="DO4" s="1319"/>
      <c r="DP4" s="1319"/>
      <c r="DQ4" s="1319"/>
      <c r="DR4" s="1319"/>
      <c r="DS4" s="1319"/>
      <c r="DT4" s="1319"/>
      <c r="DU4" s="1319"/>
    </row>
    <row r="5" spans="1:125" s="617" customFormat="1" ht="16.5" customHeight="1">
      <c r="A5" s="954" t="s">
        <v>225</v>
      </c>
      <c r="B5" s="1051" t="s">
        <v>228</v>
      </c>
      <c r="C5" s="1331" t="s">
        <v>403</v>
      </c>
      <c r="D5" s="631"/>
      <c r="E5" s="631"/>
      <c r="F5" s="631"/>
      <c r="G5" s="631"/>
      <c r="H5" s="631"/>
      <c r="I5" s="631"/>
      <c r="J5" s="631"/>
      <c r="K5" s="631"/>
      <c r="L5" s="631"/>
      <c r="M5" s="631"/>
      <c r="N5" s="631"/>
      <c r="O5" s="780"/>
      <c r="P5" s="705">
        <f>SUM(P6:P12)</f>
        <v>0</v>
      </c>
      <c r="Q5" s="1320"/>
      <c r="R5" s="1320"/>
      <c r="S5" s="1320"/>
      <c r="T5" s="1320"/>
      <c r="U5" s="1320"/>
      <c r="V5" s="1320"/>
      <c r="W5" s="1320"/>
      <c r="X5" s="1320"/>
      <c r="Y5" s="1320"/>
      <c r="Z5" s="1320"/>
      <c r="AA5" s="1320"/>
      <c r="AB5" s="1320"/>
      <c r="AC5" s="1320"/>
      <c r="AD5" s="1320"/>
      <c r="AE5" s="1320"/>
      <c r="AF5" s="1320"/>
      <c r="AG5" s="1320"/>
      <c r="AH5" s="1320"/>
      <c r="AI5" s="1320"/>
      <c r="AJ5" s="1320"/>
      <c r="AK5" s="1320"/>
      <c r="AL5" s="1320"/>
      <c r="AM5" s="1320"/>
      <c r="AN5" s="1320"/>
      <c r="AO5" s="1320"/>
      <c r="AP5" s="1320"/>
      <c r="AQ5" s="1320"/>
      <c r="AR5" s="1320"/>
      <c r="AS5" s="1320"/>
      <c r="AT5" s="1320"/>
      <c r="AU5" s="1320"/>
      <c r="AV5" s="1320"/>
      <c r="AW5" s="1320"/>
      <c r="AX5" s="1320"/>
      <c r="AY5" s="1320"/>
      <c r="AZ5" s="1320"/>
      <c r="BA5" s="1320"/>
      <c r="BB5" s="1320"/>
      <c r="BC5" s="1320"/>
      <c r="BD5" s="1320"/>
      <c r="BE5" s="1320"/>
      <c r="BF5" s="1320"/>
      <c r="BG5" s="1320"/>
      <c r="BH5" s="1320"/>
      <c r="BI5" s="1320"/>
      <c r="BJ5" s="1320"/>
      <c r="BK5" s="1320"/>
      <c r="BL5" s="1320"/>
      <c r="BM5" s="1320"/>
      <c r="BN5" s="1320"/>
      <c r="BO5" s="1320"/>
      <c r="BP5" s="1320"/>
      <c r="BQ5" s="1320"/>
      <c r="BR5" s="1320"/>
      <c r="BS5" s="1320"/>
      <c r="BT5" s="1320"/>
      <c r="BU5" s="1320"/>
      <c r="BV5" s="1320"/>
      <c r="BW5" s="1320"/>
      <c r="BX5" s="1320"/>
      <c r="BY5" s="1320"/>
      <c r="BZ5" s="1320"/>
      <c r="CA5" s="1320"/>
      <c r="CB5" s="1320"/>
      <c r="CC5" s="1320"/>
      <c r="CD5" s="1320"/>
      <c r="CE5" s="1320"/>
      <c r="CF5" s="1320"/>
      <c r="CG5" s="1320"/>
      <c r="CH5" s="1320"/>
      <c r="CI5" s="1320"/>
      <c r="CJ5" s="1320"/>
      <c r="CK5" s="1320"/>
      <c r="CL5" s="1320"/>
      <c r="CM5" s="1320"/>
      <c r="CN5" s="1320"/>
      <c r="CO5" s="1320"/>
      <c r="CP5" s="1320"/>
      <c r="CQ5" s="1320"/>
      <c r="CR5" s="1320"/>
      <c r="CS5" s="1320"/>
      <c r="CT5" s="1320"/>
      <c r="CU5" s="1320"/>
      <c r="CV5" s="1320"/>
      <c r="CW5" s="1320"/>
      <c r="CX5" s="1320"/>
      <c r="CY5" s="1320"/>
      <c r="CZ5" s="1320"/>
      <c r="DA5" s="1320"/>
      <c r="DB5" s="1320"/>
      <c r="DC5" s="1320"/>
      <c r="DD5" s="1320"/>
      <c r="DE5" s="1320"/>
      <c r="DF5" s="1320"/>
      <c r="DG5" s="1320"/>
      <c r="DH5" s="1320"/>
      <c r="DI5" s="1320"/>
      <c r="DJ5" s="1320"/>
      <c r="DK5" s="1320"/>
      <c r="DL5" s="1320"/>
      <c r="DM5" s="1320"/>
      <c r="DN5" s="1320"/>
      <c r="DO5" s="1320"/>
      <c r="DP5" s="1320"/>
      <c r="DQ5" s="1320"/>
      <c r="DR5" s="1320"/>
      <c r="DS5" s="1320"/>
      <c r="DT5" s="1320"/>
      <c r="DU5" s="1320"/>
    </row>
    <row r="6" spans="1:125" s="1341" customFormat="1">
      <c r="A6" s="1391" t="s">
        <v>667</v>
      </c>
      <c r="B6" s="1410" t="s">
        <v>2335</v>
      </c>
      <c r="C6" s="1330" t="s">
        <v>231</v>
      </c>
      <c r="D6" s="1346" t="s">
        <v>18</v>
      </c>
      <c r="E6" s="1365">
        <v>1</v>
      </c>
      <c r="F6" s="1365">
        <v>1</v>
      </c>
      <c r="G6" s="1365">
        <v>1</v>
      </c>
      <c r="H6" s="1399">
        <v>1</v>
      </c>
      <c r="I6" s="1399">
        <v>1</v>
      </c>
      <c r="J6" s="1399">
        <v>1</v>
      </c>
      <c r="K6" s="1399">
        <v>1</v>
      </c>
      <c r="L6" s="1399">
        <v>1</v>
      </c>
      <c r="M6" s="1399">
        <v>1</v>
      </c>
      <c r="N6" s="1363">
        <f>SUM(E6:M6)</f>
        <v>9</v>
      </c>
      <c r="O6" s="1362"/>
      <c r="P6" s="1347">
        <f>N6*O6</f>
        <v>0</v>
      </c>
      <c r="Q6" s="1343"/>
      <c r="R6" s="1343"/>
      <c r="S6" s="1343"/>
      <c r="T6" s="1343"/>
      <c r="U6" s="1343"/>
      <c r="V6" s="1343"/>
      <c r="W6" s="1343"/>
      <c r="X6" s="1343"/>
      <c r="Y6" s="1343"/>
      <c r="Z6" s="1343"/>
      <c r="AA6" s="1343"/>
      <c r="AB6" s="1343"/>
      <c r="AC6" s="1343"/>
      <c r="AD6" s="1343"/>
      <c r="AE6" s="1343"/>
      <c r="AF6" s="1343"/>
      <c r="AG6" s="1343"/>
      <c r="AH6" s="1343"/>
      <c r="AI6" s="1343"/>
      <c r="AJ6" s="1343"/>
      <c r="AK6" s="1343"/>
      <c r="AL6" s="1343"/>
      <c r="AM6" s="1343"/>
      <c r="AN6" s="1343"/>
      <c r="AO6" s="1343"/>
      <c r="AP6" s="1343"/>
      <c r="AQ6" s="1343"/>
      <c r="AR6" s="1343"/>
      <c r="AS6" s="1343"/>
      <c r="AT6" s="1343"/>
      <c r="AU6" s="1343"/>
      <c r="AV6" s="1343"/>
      <c r="AW6" s="1343"/>
      <c r="AX6" s="1343"/>
      <c r="AY6" s="1343"/>
      <c r="AZ6" s="1343"/>
      <c r="BA6" s="1343"/>
      <c r="BB6" s="1343"/>
      <c r="BC6" s="1343"/>
      <c r="BD6" s="1343"/>
      <c r="BE6" s="1343"/>
      <c r="BF6" s="1343"/>
      <c r="BG6" s="1343"/>
      <c r="BH6" s="1343"/>
      <c r="BI6" s="1343"/>
      <c r="BJ6" s="1343"/>
      <c r="BK6" s="1343"/>
      <c r="BL6" s="1343"/>
      <c r="BM6" s="1343"/>
      <c r="BN6" s="1343"/>
      <c r="BO6" s="1343"/>
      <c r="BP6" s="1343"/>
      <c r="BQ6" s="1343"/>
      <c r="BR6" s="1343"/>
      <c r="BS6" s="1343"/>
      <c r="BT6" s="1343"/>
      <c r="BU6" s="1343"/>
      <c r="BV6" s="1343"/>
      <c r="BW6" s="1343"/>
      <c r="BX6" s="1343"/>
      <c r="BY6" s="1343"/>
      <c r="BZ6" s="1343"/>
      <c r="CA6" s="1343"/>
      <c r="CB6" s="1343"/>
      <c r="CC6" s="1343"/>
      <c r="CD6" s="1343"/>
      <c r="CE6" s="1343"/>
      <c r="CF6" s="1343"/>
      <c r="CG6" s="1343"/>
      <c r="CH6" s="1343"/>
      <c r="CI6" s="1343"/>
      <c r="CJ6" s="1343"/>
      <c r="CK6" s="1343"/>
      <c r="CL6" s="1343"/>
      <c r="CM6" s="1343"/>
      <c r="CN6" s="1343"/>
      <c r="CO6" s="1343"/>
      <c r="CP6" s="1343"/>
      <c r="CQ6" s="1343"/>
      <c r="CR6" s="1343"/>
      <c r="CS6" s="1343"/>
      <c r="CT6" s="1343"/>
      <c r="CU6" s="1343"/>
      <c r="CV6" s="1343"/>
      <c r="CW6" s="1343"/>
      <c r="CX6" s="1343"/>
      <c r="CY6" s="1343"/>
      <c r="CZ6" s="1343"/>
      <c r="DA6" s="1343"/>
      <c r="DB6" s="1343"/>
      <c r="DC6" s="1343"/>
      <c r="DD6" s="1343"/>
      <c r="DE6" s="1343"/>
      <c r="DF6" s="1343"/>
      <c r="DG6" s="1343"/>
      <c r="DH6" s="1343"/>
      <c r="DI6" s="1343"/>
      <c r="DJ6" s="1343"/>
      <c r="DK6" s="1343"/>
      <c r="DL6" s="1343"/>
      <c r="DM6" s="1343"/>
      <c r="DN6" s="1343"/>
      <c r="DO6" s="1343"/>
      <c r="DP6" s="1343"/>
      <c r="DQ6" s="1343"/>
      <c r="DR6" s="1343"/>
      <c r="DS6" s="1343"/>
      <c r="DT6" s="1343"/>
      <c r="DU6" s="1343"/>
    </row>
    <row r="7" spans="1:125" s="1341" customFormat="1">
      <c r="A7" s="1391" t="s">
        <v>668</v>
      </c>
      <c r="B7" s="1410" t="s">
        <v>2447</v>
      </c>
      <c r="C7" s="1330" t="s">
        <v>1418</v>
      </c>
      <c r="D7" s="1346" t="s">
        <v>18</v>
      </c>
      <c r="E7" s="1365">
        <v>1</v>
      </c>
      <c r="F7" s="1365">
        <v>1</v>
      </c>
      <c r="G7" s="1365">
        <v>1</v>
      </c>
      <c r="H7" s="1399">
        <v>1</v>
      </c>
      <c r="I7" s="1399">
        <v>1</v>
      </c>
      <c r="J7" s="1399">
        <v>1</v>
      </c>
      <c r="K7" s="1399">
        <v>1</v>
      </c>
      <c r="L7" s="1399">
        <v>1</v>
      </c>
      <c r="M7" s="1399">
        <v>1</v>
      </c>
      <c r="N7" s="1363">
        <f>SUM(E7:M7)</f>
        <v>9</v>
      </c>
      <c r="O7" s="1362"/>
      <c r="P7" s="1347">
        <f>N7*O7</f>
        <v>0</v>
      </c>
      <c r="Q7" s="1343"/>
      <c r="R7" s="1343"/>
      <c r="S7" s="1343"/>
      <c r="T7" s="1343"/>
      <c r="U7" s="1343"/>
      <c r="V7" s="1343"/>
      <c r="W7" s="1343"/>
      <c r="X7" s="1343"/>
      <c r="Y7" s="1343"/>
      <c r="Z7" s="1343"/>
      <c r="AA7" s="1343"/>
      <c r="AB7" s="1343"/>
      <c r="AC7" s="1343"/>
      <c r="AD7" s="1343"/>
      <c r="AE7" s="1343"/>
      <c r="AF7" s="1343"/>
      <c r="AG7" s="1343"/>
      <c r="AH7" s="1343"/>
      <c r="AI7" s="1343"/>
      <c r="AJ7" s="1343"/>
      <c r="AK7" s="1343"/>
      <c r="AL7" s="1343"/>
      <c r="AM7" s="1343"/>
      <c r="AN7" s="1343"/>
      <c r="AO7" s="1343"/>
      <c r="AP7" s="1343"/>
      <c r="AQ7" s="1343"/>
      <c r="AR7" s="1343"/>
      <c r="AS7" s="1343"/>
      <c r="AT7" s="1343"/>
      <c r="AU7" s="1343"/>
      <c r="AV7" s="1343"/>
      <c r="AW7" s="1343"/>
      <c r="AX7" s="1343"/>
      <c r="AY7" s="1343"/>
      <c r="AZ7" s="1343"/>
      <c r="BA7" s="1343"/>
      <c r="BB7" s="1343"/>
      <c r="BC7" s="1343"/>
      <c r="BD7" s="1343"/>
      <c r="BE7" s="1343"/>
      <c r="BF7" s="1343"/>
      <c r="BG7" s="1343"/>
      <c r="BH7" s="1343"/>
      <c r="BI7" s="1343"/>
      <c r="BJ7" s="1343"/>
      <c r="BK7" s="1343"/>
      <c r="BL7" s="1343"/>
      <c r="BM7" s="1343"/>
      <c r="BN7" s="1343"/>
      <c r="BO7" s="1343"/>
      <c r="BP7" s="1343"/>
      <c r="BQ7" s="1343"/>
      <c r="BR7" s="1343"/>
      <c r="BS7" s="1343"/>
      <c r="BT7" s="1343"/>
      <c r="BU7" s="1343"/>
      <c r="BV7" s="1343"/>
      <c r="BW7" s="1343"/>
      <c r="BX7" s="1343"/>
      <c r="BY7" s="1343"/>
      <c r="BZ7" s="1343"/>
      <c r="CA7" s="1343"/>
      <c r="CB7" s="1343"/>
      <c r="CC7" s="1343"/>
      <c r="CD7" s="1343"/>
      <c r="CE7" s="1343"/>
      <c r="CF7" s="1343"/>
      <c r="CG7" s="1343"/>
      <c r="CH7" s="1343"/>
      <c r="CI7" s="1343"/>
      <c r="CJ7" s="1343"/>
      <c r="CK7" s="1343"/>
      <c r="CL7" s="1343"/>
      <c r="CM7" s="1343"/>
      <c r="CN7" s="1343"/>
      <c r="CO7" s="1343"/>
      <c r="CP7" s="1343"/>
      <c r="CQ7" s="1343"/>
      <c r="CR7" s="1343"/>
      <c r="CS7" s="1343"/>
      <c r="CT7" s="1343"/>
      <c r="CU7" s="1343"/>
      <c r="CV7" s="1343"/>
      <c r="CW7" s="1343"/>
      <c r="CX7" s="1343"/>
      <c r="CY7" s="1343"/>
      <c r="CZ7" s="1343"/>
      <c r="DA7" s="1343"/>
      <c r="DB7" s="1343"/>
      <c r="DC7" s="1343"/>
      <c r="DD7" s="1343"/>
      <c r="DE7" s="1343"/>
      <c r="DF7" s="1343"/>
      <c r="DG7" s="1343"/>
      <c r="DH7" s="1343"/>
      <c r="DI7" s="1343"/>
      <c r="DJ7" s="1343"/>
      <c r="DK7" s="1343"/>
      <c r="DL7" s="1343"/>
      <c r="DM7" s="1343"/>
      <c r="DN7" s="1343"/>
      <c r="DO7" s="1343"/>
      <c r="DP7" s="1343"/>
      <c r="DQ7" s="1343"/>
      <c r="DR7" s="1343"/>
      <c r="DS7" s="1343"/>
      <c r="DT7" s="1343"/>
      <c r="DU7" s="1343"/>
    </row>
    <row r="8" spans="1:125" s="1341" customFormat="1">
      <c r="A8" s="1391" t="s">
        <v>670</v>
      </c>
      <c r="B8" s="1410" t="s">
        <v>2444</v>
      </c>
      <c r="C8" s="1330" t="s">
        <v>231</v>
      </c>
      <c r="D8" s="1346" t="s">
        <v>11</v>
      </c>
      <c r="E8" s="1365">
        <v>3894</v>
      </c>
      <c r="F8" s="1365">
        <v>3420</v>
      </c>
      <c r="G8" s="1365">
        <v>1507</v>
      </c>
      <c r="H8" s="1399">
        <v>9759</v>
      </c>
      <c r="I8" s="1399">
        <v>800</v>
      </c>
      <c r="J8" s="1399">
        <v>4972</v>
      </c>
      <c r="K8" s="1399">
        <v>16510</v>
      </c>
      <c r="L8" s="1399">
        <v>2649</v>
      </c>
      <c r="M8" s="1399">
        <v>18592</v>
      </c>
      <c r="N8" s="1363">
        <f>SUM(E8:M8)</f>
        <v>62103</v>
      </c>
      <c r="O8" s="1362"/>
      <c r="P8" s="1347">
        <f>N8*O8</f>
        <v>0</v>
      </c>
      <c r="Q8" s="1343"/>
      <c r="R8" s="1343"/>
      <c r="S8" s="1343"/>
      <c r="T8" s="1343"/>
      <c r="U8" s="1343"/>
      <c r="V8" s="1343"/>
      <c r="W8" s="1343"/>
      <c r="X8" s="1343"/>
      <c r="Y8" s="1343"/>
      <c r="Z8" s="1343"/>
      <c r="AA8" s="1343"/>
      <c r="AB8" s="1343"/>
      <c r="AC8" s="1343"/>
      <c r="AD8" s="1343"/>
      <c r="AE8" s="1343"/>
      <c r="AF8" s="1343"/>
      <c r="AG8" s="1343"/>
      <c r="AH8" s="1343"/>
      <c r="AI8" s="1343"/>
      <c r="AJ8" s="1343"/>
      <c r="AK8" s="1343"/>
      <c r="AL8" s="1343"/>
      <c r="AM8" s="1343"/>
      <c r="AN8" s="1343"/>
      <c r="AO8" s="1343"/>
      <c r="AP8" s="1343"/>
      <c r="AQ8" s="1343"/>
      <c r="AR8" s="1343"/>
      <c r="AS8" s="1343"/>
      <c r="AT8" s="1343"/>
      <c r="AU8" s="1343"/>
      <c r="AV8" s="1343"/>
      <c r="AW8" s="1343"/>
      <c r="AX8" s="1343"/>
      <c r="AY8" s="1343"/>
      <c r="AZ8" s="1343"/>
      <c r="BA8" s="1343"/>
      <c r="BB8" s="1343"/>
      <c r="BC8" s="1343"/>
      <c r="BD8" s="1343"/>
      <c r="BE8" s="1343"/>
      <c r="BF8" s="1343"/>
      <c r="BG8" s="1343"/>
      <c r="BH8" s="1343"/>
      <c r="BI8" s="1343"/>
      <c r="BJ8" s="1343"/>
      <c r="BK8" s="1343"/>
      <c r="BL8" s="1343"/>
      <c r="BM8" s="1343"/>
      <c r="BN8" s="1343"/>
      <c r="BO8" s="1343"/>
      <c r="BP8" s="1343"/>
      <c r="BQ8" s="1343"/>
      <c r="BR8" s="1343"/>
      <c r="BS8" s="1343"/>
      <c r="BT8" s="1343"/>
      <c r="BU8" s="1343"/>
      <c r="BV8" s="1343"/>
      <c r="BW8" s="1343"/>
      <c r="BX8" s="1343"/>
      <c r="BY8" s="1343"/>
      <c r="BZ8" s="1343"/>
      <c r="CA8" s="1343"/>
      <c r="CB8" s="1343"/>
      <c r="CC8" s="1343"/>
      <c r="CD8" s="1343"/>
      <c r="CE8" s="1343"/>
      <c r="CF8" s="1343"/>
      <c r="CG8" s="1343"/>
      <c r="CH8" s="1343"/>
      <c r="CI8" s="1343"/>
      <c r="CJ8" s="1343"/>
      <c r="CK8" s="1343"/>
      <c r="CL8" s="1343"/>
      <c r="CM8" s="1343"/>
      <c r="CN8" s="1343"/>
      <c r="CO8" s="1343"/>
      <c r="CP8" s="1343"/>
      <c r="CQ8" s="1343"/>
      <c r="CR8" s="1343"/>
      <c r="CS8" s="1343"/>
      <c r="CT8" s="1343"/>
      <c r="CU8" s="1343"/>
      <c r="CV8" s="1343"/>
      <c r="CW8" s="1343"/>
      <c r="CX8" s="1343"/>
      <c r="CY8" s="1343"/>
      <c r="CZ8" s="1343"/>
      <c r="DA8" s="1343"/>
      <c r="DB8" s="1343"/>
      <c r="DC8" s="1343"/>
      <c r="DD8" s="1343"/>
      <c r="DE8" s="1343"/>
      <c r="DF8" s="1343"/>
      <c r="DG8" s="1343"/>
      <c r="DH8" s="1343"/>
      <c r="DI8" s="1343"/>
      <c r="DJ8" s="1343"/>
      <c r="DK8" s="1343"/>
      <c r="DL8" s="1343"/>
      <c r="DM8" s="1343"/>
      <c r="DN8" s="1343"/>
      <c r="DO8" s="1343"/>
      <c r="DP8" s="1343"/>
      <c r="DQ8" s="1343"/>
      <c r="DR8" s="1343"/>
      <c r="DS8" s="1343"/>
      <c r="DT8" s="1343"/>
      <c r="DU8" s="1343"/>
    </row>
    <row r="9" spans="1:125" s="1341" customFormat="1">
      <c r="A9" s="1391" t="s">
        <v>2262</v>
      </c>
      <c r="B9" s="1410" t="s">
        <v>2334</v>
      </c>
      <c r="C9" s="1330" t="s">
        <v>2450</v>
      </c>
      <c r="D9" s="1346" t="s">
        <v>18</v>
      </c>
      <c r="E9" s="1365">
        <v>1</v>
      </c>
      <c r="F9" s="1365">
        <v>1</v>
      </c>
      <c r="G9" s="1365">
        <v>1</v>
      </c>
      <c r="H9" s="1399">
        <v>1</v>
      </c>
      <c r="I9" s="1399">
        <v>1</v>
      </c>
      <c r="J9" s="1399">
        <v>1</v>
      </c>
      <c r="K9" s="1399">
        <v>1</v>
      </c>
      <c r="L9" s="1399">
        <v>1</v>
      </c>
      <c r="M9" s="1399">
        <v>1</v>
      </c>
      <c r="N9" s="1363">
        <f t="shared" ref="N9" si="0">SUM(E9:M9)</f>
        <v>9</v>
      </c>
      <c r="O9" s="1362"/>
      <c r="P9" s="1347">
        <f t="shared" ref="P9" si="1">N9*O9</f>
        <v>0</v>
      </c>
      <c r="Q9" s="1343"/>
      <c r="R9" s="1343"/>
      <c r="S9" s="1343"/>
      <c r="T9" s="1343"/>
      <c r="U9" s="1343"/>
      <c r="V9" s="1343"/>
      <c r="W9" s="1343"/>
      <c r="X9" s="1343"/>
      <c r="Y9" s="1343"/>
      <c r="Z9" s="1343"/>
      <c r="AA9" s="1343"/>
      <c r="AB9" s="1343"/>
      <c r="AC9" s="1343"/>
      <c r="AD9" s="1343"/>
      <c r="AE9" s="1343"/>
      <c r="AF9" s="1343"/>
      <c r="AG9" s="1343"/>
      <c r="AH9" s="1343"/>
      <c r="AI9" s="1343"/>
      <c r="AJ9" s="1343"/>
      <c r="AK9" s="1343"/>
      <c r="AL9" s="1343"/>
      <c r="AM9" s="1343"/>
      <c r="AN9" s="1343"/>
      <c r="AO9" s="1343"/>
      <c r="AP9" s="1343"/>
      <c r="AQ9" s="1343"/>
      <c r="AR9" s="1343"/>
      <c r="AS9" s="1343"/>
      <c r="AT9" s="1343"/>
      <c r="AU9" s="1343"/>
      <c r="AV9" s="1343"/>
      <c r="AW9" s="1343"/>
      <c r="AX9" s="1343"/>
      <c r="AY9" s="1343"/>
      <c r="AZ9" s="1343"/>
      <c r="BA9" s="1343"/>
      <c r="BB9" s="1343"/>
      <c r="BC9" s="1343"/>
      <c r="BD9" s="1343"/>
      <c r="BE9" s="1343"/>
      <c r="BF9" s="1343"/>
      <c r="BG9" s="1343"/>
      <c r="BH9" s="1343"/>
      <c r="BI9" s="1343"/>
      <c r="BJ9" s="1343"/>
      <c r="BK9" s="1343"/>
      <c r="BL9" s="1343"/>
      <c r="BM9" s="1343"/>
      <c r="BN9" s="1343"/>
      <c r="BO9" s="1343"/>
      <c r="BP9" s="1343"/>
      <c r="BQ9" s="1343"/>
      <c r="BR9" s="1343"/>
      <c r="BS9" s="1343"/>
      <c r="BT9" s="1343"/>
      <c r="BU9" s="1343"/>
      <c r="BV9" s="1343"/>
      <c r="BW9" s="1343"/>
      <c r="BX9" s="1343"/>
      <c r="BY9" s="1343"/>
      <c r="BZ9" s="1343"/>
      <c r="CA9" s="1343"/>
      <c r="CB9" s="1343"/>
      <c r="CC9" s="1343"/>
      <c r="CD9" s="1343"/>
      <c r="CE9" s="1343"/>
      <c r="CF9" s="1343"/>
      <c r="CG9" s="1343"/>
      <c r="CH9" s="1343"/>
      <c r="CI9" s="1343"/>
      <c r="CJ9" s="1343"/>
      <c r="CK9" s="1343"/>
      <c r="CL9" s="1343"/>
      <c r="CM9" s="1343"/>
      <c r="CN9" s="1343"/>
      <c r="CO9" s="1343"/>
      <c r="CP9" s="1343"/>
      <c r="CQ9" s="1343"/>
      <c r="CR9" s="1343"/>
      <c r="CS9" s="1343"/>
      <c r="CT9" s="1343"/>
      <c r="CU9" s="1343"/>
      <c r="CV9" s="1343"/>
      <c r="CW9" s="1343"/>
      <c r="CX9" s="1343"/>
      <c r="CY9" s="1343"/>
      <c r="CZ9" s="1343"/>
      <c r="DA9" s="1343"/>
      <c r="DB9" s="1343"/>
      <c r="DC9" s="1343"/>
      <c r="DD9" s="1343"/>
      <c r="DE9" s="1343"/>
      <c r="DF9" s="1343"/>
      <c r="DG9" s="1343"/>
      <c r="DH9" s="1343"/>
      <c r="DI9" s="1343"/>
      <c r="DJ9" s="1343"/>
      <c r="DK9" s="1343"/>
      <c r="DL9" s="1343"/>
      <c r="DM9" s="1343"/>
      <c r="DN9" s="1343"/>
      <c r="DO9" s="1343"/>
      <c r="DP9" s="1343"/>
      <c r="DQ9" s="1343"/>
      <c r="DR9" s="1343"/>
      <c r="DS9" s="1343"/>
      <c r="DT9" s="1343"/>
      <c r="DU9" s="1343"/>
    </row>
    <row r="10" spans="1:125" s="1341" customFormat="1">
      <c r="A10" s="1391" t="s">
        <v>2263</v>
      </c>
      <c r="B10" s="1410" t="s">
        <v>669</v>
      </c>
      <c r="C10" s="1330" t="s">
        <v>2448</v>
      </c>
      <c r="D10" s="1346" t="s">
        <v>18</v>
      </c>
      <c r="E10" s="1365">
        <v>1</v>
      </c>
      <c r="F10" s="1365">
        <v>1</v>
      </c>
      <c r="G10" s="1365">
        <v>1</v>
      </c>
      <c r="H10" s="1399">
        <v>1</v>
      </c>
      <c r="I10" s="1399">
        <v>1</v>
      </c>
      <c r="J10" s="1399">
        <v>1</v>
      </c>
      <c r="K10" s="1399">
        <v>1</v>
      </c>
      <c r="L10" s="1399">
        <v>1</v>
      </c>
      <c r="M10" s="1399">
        <v>1</v>
      </c>
      <c r="N10" s="1363">
        <f t="shared" ref="N10" si="2">SUM(E10:M10)</f>
        <v>9</v>
      </c>
      <c r="O10" s="1362"/>
      <c r="P10" s="1347">
        <f t="shared" ref="P10" si="3">N10*O10</f>
        <v>0</v>
      </c>
      <c r="Q10" s="1343"/>
      <c r="R10" s="1343"/>
      <c r="S10" s="1343"/>
      <c r="T10" s="1343"/>
      <c r="U10" s="1343"/>
      <c r="V10" s="1343"/>
      <c r="W10" s="1343"/>
      <c r="X10" s="1343"/>
      <c r="Y10" s="1343"/>
      <c r="Z10" s="1343"/>
      <c r="AA10" s="1343"/>
      <c r="AB10" s="1343"/>
      <c r="AC10" s="1343"/>
      <c r="AD10" s="1343"/>
      <c r="AE10" s="1343"/>
      <c r="AF10" s="1343"/>
      <c r="AG10" s="1343"/>
      <c r="AH10" s="1343"/>
      <c r="AI10" s="1343"/>
      <c r="AJ10" s="1343"/>
      <c r="AK10" s="1343"/>
      <c r="AL10" s="1343"/>
      <c r="AM10" s="1343"/>
      <c r="AN10" s="1343"/>
      <c r="AO10" s="1343"/>
      <c r="AP10" s="1343"/>
      <c r="AQ10" s="1343"/>
      <c r="AR10" s="1343"/>
      <c r="AS10" s="1343"/>
      <c r="AT10" s="1343"/>
      <c r="AU10" s="1343"/>
      <c r="AV10" s="1343"/>
      <c r="AW10" s="1343"/>
      <c r="AX10" s="1343"/>
      <c r="AY10" s="1343"/>
      <c r="AZ10" s="1343"/>
      <c r="BA10" s="1343"/>
      <c r="BB10" s="1343"/>
      <c r="BC10" s="1343"/>
      <c r="BD10" s="1343"/>
      <c r="BE10" s="1343"/>
      <c r="BF10" s="1343"/>
      <c r="BG10" s="1343"/>
      <c r="BH10" s="1343"/>
      <c r="BI10" s="1343"/>
      <c r="BJ10" s="1343"/>
      <c r="BK10" s="1343"/>
      <c r="BL10" s="1343"/>
      <c r="BM10" s="1343"/>
      <c r="BN10" s="1343"/>
      <c r="BO10" s="1343"/>
      <c r="BP10" s="1343"/>
      <c r="BQ10" s="1343"/>
      <c r="BR10" s="1343"/>
      <c r="BS10" s="1343"/>
      <c r="BT10" s="1343"/>
      <c r="BU10" s="1343"/>
      <c r="BV10" s="1343"/>
      <c r="BW10" s="1343"/>
      <c r="BX10" s="1343"/>
      <c r="BY10" s="1343"/>
      <c r="BZ10" s="1343"/>
      <c r="CA10" s="1343"/>
      <c r="CB10" s="1343"/>
      <c r="CC10" s="1343"/>
      <c r="CD10" s="1343"/>
      <c r="CE10" s="1343"/>
      <c r="CF10" s="1343"/>
      <c r="CG10" s="1343"/>
      <c r="CH10" s="1343"/>
      <c r="CI10" s="1343"/>
      <c r="CJ10" s="1343"/>
      <c r="CK10" s="1343"/>
      <c r="CL10" s="1343"/>
      <c r="CM10" s="1343"/>
      <c r="CN10" s="1343"/>
      <c r="CO10" s="1343"/>
      <c r="CP10" s="1343"/>
      <c r="CQ10" s="1343"/>
      <c r="CR10" s="1343"/>
      <c r="CS10" s="1343"/>
      <c r="CT10" s="1343"/>
      <c r="CU10" s="1343"/>
      <c r="CV10" s="1343"/>
      <c r="CW10" s="1343"/>
      <c r="CX10" s="1343"/>
      <c r="CY10" s="1343"/>
      <c r="CZ10" s="1343"/>
      <c r="DA10" s="1343"/>
      <c r="DB10" s="1343"/>
      <c r="DC10" s="1343"/>
      <c r="DD10" s="1343"/>
      <c r="DE10" s="1343"/>
      <c r="DF10" s="1343"/>
      <c r="DG10" s="1343"/>
      <c r="DH10" s="1343"/>
      <c r="DI10" s="1343"/>
      <c r="DJ10" s="1343"/>
      <c r="DK10" s="1343"/>
      <c r="DL10" s="1343"/>
      <c r="DM10" s="1343"/>
      <c r="DN10" s="1343"/>
      <c r="DO10" s="1343"/>
      <c r="DP10" s="1343"/>
      <c r="DQ10" s="1343"/>
      <c r="DR10" s="1343"/>
      <c r="DS10" s="1343"/>
      <c r="DT10" s="1343"/>
      <c r="DU10" s="1343"/>
    </row>
    <row r="11" spans="1:125" s="599" customFormat="1">
      <c r="A11" s="1391" t="s">
        <v>2445</v>
      </c>
      <c r="B11" s="1052" t="s">
        <v>2336</v>
      </c>
      <c r="C11" s="1330" t="s">
        <v>404</v>
      </c>
      <c r="D11" s="702" t="s">
        <v>18</v>
      </c>
      <c r="E11" s="782">
        <v>1</v>
      </c>
      <c r="F11" s="1365">
        <v>1</v>
      </c>
      <c r="G11" s="1365">
        <v>1</v>
      </c>
      <c r="H11" s="1365">
        <v>1</v>
      </c>
      <c r="I11" s="1365">
        <v>1</v>
      </c>
      <c r="J11" s="1365">
        <v>1</v>
      </c>
      <c r="K11" s="1365">
        <v>1</v>
      </c>
      <c r="L11" s="1365">
        <v>1</v>
      </c>
      <c r="M11" s="1365">
        <v>1</v>
      </c>
      <c r="N11" s="774">
        <f>SUM(E11:M11)</f>
        <v>9</v>
      </c>
      <c r="O11" s="771"/>
      <c r="P11" s="711">
        <f>N11*O11</f>
        <v>0</v>
      </c>
      <c r="Q11" s="642"/>
      <c r="R11" s="642"/>
      <c r="S11" s="642"/>
      <c r="T11" s="642"/>
      <c r="U11" s="642"/>
      <c r="V11" s="642"/>
      <c r="W11" s="642"/>
      <c r="X11" s="642"/>
      <c r="Y11" s="642"/>
      <c r="Z11" s="642"/>
      <c r="AA11" s="642"/>
      <c r="AB11" s="642"/>
      <c r="AC11" s="642"/>
      <c r="AD11" s="642"/>
      <c r="AE11" s="642"/>
      <c r="AF11" s="642"/>
      <c r="AG11" s="642"/>
      <c r="AH11" s="642"/>
      <c r="AI11" s="642"/>
      <c r="AJ11" s="642"/>
      <c r="AK11" s="642"/>
      <c r="AL11" s="642"/>
      <c r="AM11" s="642"/>
      <c r="AN11" s="642"/>
      <c r="AO11" s="642"/>
      <c r="AP11" s="642"/>
      <c r="AQ11" s="642"/>
      <c r="AR11" s="642"/>
      <c r="AS11" s="642"/>
      <c r="AT11" s="642"/>
      <c r="AU11" s="642"/>
      <c r="AV11" s="642"/>
      <c r="AW11" s="642"/>
      <c r="AX11" s="642"/>
      <c r="AY11" s="642"/>
      <c r="AZ11" s="642"/>
      <c r="BA11" s="642"/>
      <c r="BB11" s="642"/>
      <c r="BC11" s="642"/>
      <c r="BD11" s="642"/>
      <c r="BE11" s="642"/>
      <c r="BF11" s="642"/>
      <c r="BG11" s="642"/>
      <c r="BH11" s="642"/>
      <c r="BI11" s="642"/>
      <c r="BJ11" s="642"/>
      <c r="BK11" s="642"/>
      <c r="BL11" s="642"/>
      <c r="BM11" s="642"/>
      <c r="BN11" s="642"/>
      <c r="BO11" s="642"/>
      <c r="BP11" s="642"/>
      <c r="BQ11" s="642"/>
      <c r="BR11" s="642"/>
      <c r="BS11" s="642"/>
      <c r="BT11" s="642"/>
      <c r="BU11" s="642"/>
      <c r="BV11" s="642"/>
      <c r="BW11" s="642"/>
      <c r="BX11" s="642"/>
      <c r="BY11" s="642"/>
      <c r="BZ11" s="642"/>
      <c r="CA11" s="642"/>
      <c r="CB11" s="642"/>
      <c r="CC11" s="642"/>
      <c r="CD11" s="642"/>
      <c r="CE11" s="642"/>
      <c r="CF11" s="642"/>
      <c r="CG11" s="642"/>
      <c r="CH11" s="642"/>
      <c r="CI11" s="642"/>
      <c r="CJ11" s="642"/>
      <c r="CK11" s="642"/>
      <c r="CL11" s="642"/>
      <c r="CM11" s="642"/>
      <c r="CN11" s="642"/>
      <c r="CO11" s="642"/>
      <c r="CP11" s="642"/>
      <c r="CQ11" s="642"/>
      <c r="CR11" s="642"/>
      <c r="CS11" s="642"/>
      <c r="CT11" s="642"/>
      <c r="CU11" s="642"/>
      <c r="CV11" s="642"/>
      <c r="CW11" s="642"/>
      <c r="CX11" s="642"/>
      <c r="CY11" s="642"/>
      <c r="CZ11" s="642"/>
      <c r="DA11" s="642"/>
      <c r="DB11" s="642"/>
      <c r="DC11" s="642"/>
      <c r="DD11" s="642"/>
      <c r="DE11" s="642"/>
      <c r="DF11" s="642"/>
      <c r="DG11" s="642"/>
      <c r="DH11" s="642"/>
      <c r="DI11" s="642"/>
      <c r="DJ11" s="642"/>
      <c r="DK11" s="642"/>
      <c r="DL11" s="642"/>
      <c r="DM11" s="642"/>
      <c r="DN11" s="642"/>
      <c r="DO11" s="642"/>
      <c r="DP11" s="642"/>
      <c r="DQ11" s="642"/>
      <c r="DR11" s="642"/>
      <c r="DS11" s="642"/>
      <c r="DT11" s="642"/>
      <c r="DU11" s="642"/>
    </row>
    <row r="12" spans="1:125" s="1341" customFormat="1">
      <c r="A12" s="1391" t="s">
        <v>2446</v>
      </c>
      <c r="B12" s="1410" t="s">
        <v>2337</v>
      </c>
      <c r="C12" s="1330" t="s">
        <v>2449</v>
      </c>
      <c r="D12" s="1346" t="s">
        <v>11</v>
      </c>
      <c r="E12" s="1365">
        <v>3894</v>
      </c>
      <c r="F12" s="1365">
        <v>3420</v>
      </c>
      <c r="G12" s="1365">
        <v>1507</v>
      </c>
      <c r="H12" s="1399">
        <v>9759</v>
      </c>
      <c r="I12" s="1399">
        <v>800</v>
      </c>
      <c r="J12" s="1399">
        <v>4972</v>
      </c>
      <c r="K12" s="1399">
        <v>16510</v>
      </c>
      <c r="L12" s="1399">
        <v>2649</v>
      </c>
      <c r="M12" s="1399">
        <v>18592</v>
      </c>
      <c r="N12" s="1363">
        <f>SUM(E12:M12)</f>
        <v>62103</v>
      </c>
      <c r="O12" s="1362"/>
      <c r="P12" s="1347">
        <f>N12*O12</f>
        <v>0</v>
      </c>
      <c r="Q12" s="1343"/>
      <c r="R12" s="1343"/>
      <c r="S12" s="1343"/>
      <c r="T12" s="1343"/>
      <c r="U12" s="1343"/>
      <c r="V12" s="1343"/>
      <c r="W12" s="1343"/>
      <c r="X12" s="1343"/>
      <c r="Y12" s="1343"/>
      <c r="Z12" s="1343"/>
      <c r="AA12" s="1343"/>
      <c r="AB12" s="1343"/>
      <c r="AC12" s="1343"/>
      <c r="AD12" s="1343"/>
      <c r="AE12" s="1343"/>
      <c r="AF12" s="1343"/>
      <c r="AG12" s="1343"/>
      <c r="AH12" s="1343"/>
      <c r="AI12" s="1343"/>
      <c r="AJ12" s="1343"/>
      <c r="AK12" s="1343"/>
      <c r="AL12" s="1343"/>
      <c r="AM12" s="1343"/>
      <c r="AN12" s="1343"/>
      <c r="AO12" s="1343"/>
      <c r="AP12" s="1343"/>
      <c r="AQ12" s="1343"/>
      <c r="AR12" s="1343"/>
      <c r="AS12" s="1343"/>
      <c r="AT12" s="1343"/>
      <c r="AU12" s="1343"/>
      <c r="AV12" s="1343"/>
      <c r="AW12" s="1343"/>
      <c r="AX12" s="1343"/>
      <c r="AY12" s="1343"/>
      <c r="AZ12" s="1343"/>
      <c r="BA12" s="1343"/>
      <c r="BB12" s="1343"/>
      <c r="BC12" s="1343"/>
      <c r="BD12" s="1343"/>
      <c r="BE12" s="1343"/>
      <c r="BF12" s="1343"/>
      <c r="BG12" s="1343"/>
      <c r="BH12" s="1343"/>
      <c r="BI12" s="1343"/>
      <c r="BJ12" s="1343"/>
      <c r="BK12" s="1343"/>
      <c r="BL12" s="1343"/>
      <c r="BM12" s="1343"/>
      <c r="BN12" s="1343"/>
      <c r="BO12" s="1343"/>
      <c r="BP12" s="1343"/>
      <c r="BQ12" s="1343"/>
      <c r="BR12" s="1343"/>
      <c r="BS12" s="1343"/>
      <c r="BT12" s="1343"/>
      <c r="BU12" s="1343"/>
      <c r="BV12" s="1343"/>
      <c r="BW12" s="1343"/>
      <c r="BX12" s="1343"/>
      <c r="BY12" s="1343"/>
      <c r="BZ12" s="1343"/>
      <c r="CA12" s="1343"/>
      <c r="CB12" s="1343"/>
      <c r="CC12" s="1343"/>
      <c r="CD12" s="1343"/>
      <c r="CE12" s="1343"/>
      <c r="CF12" s="1343"/>
      <c r="CG12" s="1343"/>
      <c r="CH12" s="1343"/>
      <c r="CI12" s="1343"/>
      <c r="CJ12" s="1343"/>
      <c r="CK12" s="1343"/>
      <c r="CL12" s="1343"/>
      <c r="CM12" s="1343"/>
      <c r="CN12" s="1343"/>
      <c r="CO12" s="1343"/>
      <c r="CP12" s="1343"/>
      <c r="CQ12" s="1343"/>
      <c r="CR12" s="1343"/>
      <c r="CS12" s="1343"/>
      <c r="CT12" s="1343"/>
      <c r="CU12" s="1343"/>
      <c r="CV12" s="1343"/>
      <c r="CW12" s="1343"/>
      <c r="CX12" s="1343"/>
      <c r="CY12" s="1343"/>
      <c r="CZ12" s="1343"/>
      <c r="DA12" s="1343"/>
      <c r="DB12" s="1343"/>
      <c r="DC12" s="1343"/>
      <c r="DD12" s="1343"/>
      <c r="DE12" s="1343"/>
      <c r="DF12" s="1343"/>
      <c r="DG12" s="1343"/>
      <c r="DH12" s="1343"/>
      <c r="DI12" s="1343"/>
      <c r="DJ12" s="1343"/>
      <c r="DK12" s="1343"/>
      <c r="DL12" s="1343"/>
      <c r="DM12" s="1343"/>
      <c r="DN12" s="1343"/>
      <c r="DO12" s="1343"/>
      <c r="DP12" s="1343"/>
      <c r="DQ12" s="1343"/>
      <c r="DR12" s="1343"/>
      <c r="DS12" s="1343"/>
      <c r="DT12" s="1343"/>
      <c r="DU12" s="1343"/>
    </row>
    <row r="13" spans="1:125" s="617" customFormat="1" ht="16.5" customHeight="1">
      <c r="A13" s="954" t="s">
        <v>226</v>
      </c>
      <c r="B13" s="1051" t="s">
        <v>229</v>
      </c>
      <c r="C13" s="1329"/>
      <c r="D13" s="763"/>
      <c r="E13" s="704"/>
      <c r="F13" s="704"/>
      <c r="G13" s="704"/>
      <c r="H13" s="826"/>
      <c r="I13" s="826"/>
      <c r="J13" s="826"/>
      <c r="K13" s="826"/>
      <c r="L13" s="826"/>
      <c r="M13" s="826"/>
      <c r="N13" s="772"/>
      <c r="O13" s="772"/>
      <c r="P13" s="705">
        <f>SUM(P14:P77)</f>
        <v>0</v>
      </c>
      <c r="Q13" s="1320"/>
      <c r="R13" s="1320"/>
      <c r="S13" s="1320"/>
      <c r="T13" s="1320"/>
      <c r="U13" s="1320"/>
      <c r="V13" s="1320"/>
      <c r="W13" s="1320"/>
      <c r="X13" s="1320"/>
      <c r="Y13" s="1320"/>
      <c r="Z13" s="1320"/>
      <c r="AA13" s="1320"/>
      <c r="AB13" s="1320"/>
      <c r="AC13" s="1320"/>
      <c r="AD13" s="1320"/>
      <c r="AE13" s="1320"/>
      <c r="AF13" s="1320"/>
      <c r="AG13" s="1320"/>
      <c r="AH13" s="1320"/>
      <c r="AI13" s="1320"/>
      <c r="AJ13" s="1320"/>
      <c r="AK13" s="1320"/>
      <c r="AL13" s="1320"/>
      <c r="AM13" s="1320"/>
      <c r="AN13" s="1320"/>
      <c r="AO13" s="1320"/>
      <c r="AP13" s="1320"/>
      <c r="AQ13" s="1320"/>
      <c r="AR13" s="1320"/>
      <c r="AS13" s="1320"/>
      <c r="AT13" s="1320"/>
      <c r="AU13" s="1320"/>
      <c r="AV13" s="1320"/>
      <c r="AW13" s="1320"/>
      <c r="AX13" s="1320"/>
      <c r="AY13" s="1320"/>
      <c r="AZ13" s="1320"/>
      <c r="BA13" s="1320"/>
      <c r="BB13" s="1320"/>
      <c r="BC13" s="1320"/>
      <c r="BD13" s="1320"/>
      <c r="BE13" s="1320"/>
      <c r="BF13" s="1320"/>
      <c r="BG13" s="1320"/>
      <c r="BH13" s="1320"/>
      <c r="BI13" s="1320"/>
      <c r="BJ13" s="1320"/>
      <c r="BK13" s="1320"/>
      <c r="BL13" s="1320"/>
      <c r="BM13" s="1320"/>
      <c r="BN13" s="1320"/>
      <c r="BO13" s="1320"/>
      <c r="BP13" s="1320"/>
      <c r="BQ13" s="1320"/>
      <c r="BR13" s="1320"/>
      <c r="BS13" s="1320"/>
      <c r="BT13" s="1320"/>
      <c r="BU13" s="1320"/>
      <c r="BV13" s="1320"/>
      <c r="BW13" s="1320"/>
      <c r="BX13" s="1320"/>
      <c r="BY13" s="1320"/>
      <c r="BZ13" s="1320"/>
      <c r="CA13" s="1320"/>
      <c r="CB13" s="1320"/>
      <c r="CC13" s="1320"/>
      <c r="CD13" s="1320"/>
      <c r="CE13" s="1320"/>
      <c r="CF13" s="1320"/>
      <c r="CG13" s="1320"/>
      <c r="CH13" s="1320"/>
      <c r="CI13" s="1320"/>
      <c r="CJ13" s="1320"/>
      <c r="CK13" s="1320"/>
      <c r="CL13" s="1320"/>
      <c r="CM13" s="1320"/>
      <c r="CN13" s="1320"/>
      <c r="CO13" s="1320"/>
      <c r="CP13" s="1320"/>
      <c r="CQ13" s="1320"/>
      <c r="CR13" s="1320"/>
      <c r="CS13" s="1320"/>
      <c r="CT13" s="1320"/>
      <c r="CU13" s="1320"/>
      <c r="CV13" s="1320"/>
      <c r="CW13" s="1320"/>
      <c r="CX13" s="1320"/>
      <c r="CY13" s="1320"/>
      <c r="CZ13" s="1320"/>
      <c r="DA13" s="1320"/>
      <c r="DB13" s="1320"/>
      <c r="DC13" s="1320"/>
      <c r="DD13" s="1320"/>
      <c r="DE13" s="1320"/>
      <c r="DF13" s="1320"/>
      <c r="DG13" s="1320"/>
      <c r="DH13" s="1320"/>
      <c r="DI13" s="1320"/>
      <c r="DJ13" s="1320"/>
      <c r="DK13" s="1320"/>
      <c r="DL13" s="1320"/>
      <c r="DM13" s="1320"/>
      <c r="DN13" s="1320"/>
      <c r="DO13" s="1320"/>
      <c r="DP13" s="1320"/>
      <c r="DQ13" s="1320"/>
      <c r="DR13" s="1320"/>
      <c r="DS13" s="1320"/>
      <c r="DT13" s="1320"/>
      <c r="DU13" s="1320"/>
    </row>
    <row r="14" spans="1:125" s="599" customFormat="1">
      <c r="A14" s="955" t="s">
        <v>2265</v>
      </c>
      <c r="B14" s="1052" t="s">
        <v>345</v>
      </c>
      <c r="C14" s="1328" t="s">
        <v>365</v>
      </c>
      <c r="D14" s="737" t="s">
        <v>11</v>
      </c>
      <c r="E14" s="1365">
        <v>3894</v>
      </c>
      <c r="F14" s="1365">
        <v>3420</v>
      </c>
      <c r="G14" s="1365">
        <v>1507</v>
      </c>
      <c r="H14" s="1399">
        <v>9759</v>
      </c>
      <c r="I14" s="1399">
        <v>800</v>
      </c>
      <c r="J14" s="1399">
        <v>4972</v>
      </c>
      <c r="K14" s="1399">
        <v>16510</v>
      </c>
      <c r="L14" s="1399">
        <v>2649</v>
      </c>
      <c r="M14" s="1399">
        <v>18592</v>
      </c>
      <c r="N14" s="774">
        <f>SUM(E14:M14)</f>
        <v>62103</v>
      </c>
      <c r="O14" s="771"/>
      <c r="P14" s="711">
        <f>N14*O14</f>
        <v>0</v>
      </c>
      <c r="Q14" s="642"/>
      <c r="R14" s="642"/>
      <c r="S14" s="642"/>
      <c r="T14" s="642"/>
      <c r="U14" s="642"/>
      <c r="V14" s="642"/>
      <c r="W14" s="642"/>
      <c r="X14" s="642"/>
      <c r="Y14" s="642"/>
      <c r="Z14" s="642"/>
      <c r="AA14" s="642"/>
      <c r="AB14" s="642"/>
      <c r="AC14" s="642"/>
      <c r="AD14" s="642"/>
      <c r="AE14" s="642"/>
      <c r="AF14" s="642"/>
      <c r="AG14" s="642"/>
      <c r="AH14" s="642"/>
      <c r="AI14" s="642"/>
      <c r="AJ14" s="642"/>
      <c r="AK14" s="642"/>
      <c r="AL14" s="642"/>
      <c r="AM14" s="642"/>
      <c r="AN14" s="642"/>
      <c r="AO14" s="642"/>
      <c r="AP14" s="642"/>
      <c r="AQ14" s="642"/>
      <c r="AR14" s="642"/>
      <c r="AS14" s="642"/>
      <c r="AT14" s="642"/>
      <c r="AU14" s="642"/>
      <c r="AV14" s="642"/>
      <c r="AW14" s="642"/>
      <c r="AX14" s="642"/>
      <c r="AY14" s="642"/>
      <c r="AZ14" s="642"/>
      <c r="BA14" s="642"/>
      <c r="BB14" s="642"/>
      <c r="BC14" s="642"/>
      <c r="BD14" s="642"/>
      <c r="BE14" s="642"/>
      <c r="BF14" s="642"/>
      <c r="BG14" s="642"/>
      <c r="BH14" s="642"/>
      <c r="BI14" s="642"/>
      <c r="BJ14" s="642"/>
      <c r="BK14" s="642"/>
      <c r="BL14" s="642"/>
      <c r="BM14" s="642"/>
      <c r="BN14" s="642"/>
      <c r="BO14" s="642"/>
      <c r="BP14" s="642"/>
      <c r="BQ14" s="642"/>
      <c r="BR14" s="642"/>
      <c r="BS14" s="642"/>
      <c r="BT14" s="642"/>
      <c r="BU14" s="642"/>
      <c r="BV14" s="642"/>
      <c r="BW14" s="642"/>
      <c r="BX14" s="642"/>
      <c r="BY14" s="642"/>
      <c r="BZ14" s="642"/>
      <c r="CA14" s="642"/>
      <c r="CB14" s="642"/>
      <c r="CC14" s="642"/>
      <c r="CD14" s="642"/>
      <c r="CE14" s="642"/>
      <c r="CF14" s="642"/>
      <c r="CG14" s="642"/>
      <c r="CH14" s="642"/>
      <c r="CI14" s="642"/>
      <c r="CJ14" s="642"/>
      <c r="CK14" s="642"/>
      <c r="CL14" s="642"/>
      <c r="CM14" s="642"/>
      <c r="CN14" s="642"/>
      <c r="CO14" s="642"/>
      <c r="CP14" s="642"/>
      <c r="CQ14" s="642"/>
      <c r="CR14" s="642"/>
      <c r="CS14" s="642"/>
      <c r="CT14" s="642"/>
      <c r="CU14" s="642"/>
      <c r="CV14" s="642"/>
      <c r="CW14" s="642"/>
      <c r="CX14" s="642"/>
      <c r="CY14" s="642"/>
      <c r="CZ14" s="642"/>
      <c r="DA14" s="642"/>
      <c r="DB14" s="642"/>
      <c r="DC14" s="642"/>
      <c r="DD14" s="642"/>
      <c r="DE14" s="642"/>
      <c r="DF14" s="642"/>
      <c r="DG14" s="642"/>
      <c r="DH14" s="642"/>
      <c r="DI14" s="642"/>
      <c r="DJ14" s="642"/>
      <c r="DK14" s="642"/>
      <c r="DL14" s="642"/>
      <c r="DM14" s="642"/>
      <c r="DN14" s="642"/>
      <c r="DO14" s="642"/>
      <c r="DP14" s="642"/>
      <c r="DQ14" s="642"/>
      <c r="DR14" s="642"/>
      <c r="DS14" s="642"/>
      <c r="DT14" s="642"/>
      <c r="DU14" s="642"/>
    </row>
    <row r="15" spans="1:125" s="599" customFormat="1" ht="16.5" customHeight="1">
      <c r="A15" s="955" t="s">
        <v>2262</v>
      </c>
      <c r="B15" s="1053" t="s">
        <v>1012</v>
      </c>
      <c r="C15" s="1328" t="s">
        <v>1014</v>
      </c>
      <c r="D15" s="737" t="s">
        <v>11</v>
      </c>
      <c r="E15" s="1365">
        <v>3894</v>
      </c>
      <c r="F15" s="1365">
        <v>3420</v>
      </c>
      <c r="G15" s="1365">
        <v>1507</v>
      </c>
      <c r="H15" s="1399">
        <v>9759</v>
      </c>
      <c r="I15" s="1399">
        <v>800</v>
      </c>
      <c r="J15" s="1399">
        <v>4972</v>
      </c>
      <c r="K15" s="1399">
        <v>16510</v>
      </c>
      <c r="L15" s="1399">
        <v>2649</v>
      </c>
      <c r="M15" s="1399">
        <v>18592</v>
      </c>
      <c r="N15" s="774">
        <f>SUM(E15:M15)</f>
        <v>62103</v>
      </c>
      <c r="O15" s="771"/>
      <c r="P15" s="711">
        <f>N15*O15</f>
        <v>0</v>
      </c>
      <c r="Q15" s="642"/>
      <c r="R15" s="642"/>
      <c r="S15" s="642"/>
      <c r="T15" s="642"/>
      <c r="U15" s="642"/>
      <c r="V15" s="642"/>
      <c r="W15" s="642"/>
      <c r="X15" s="642"/>
      <c r="Y15" s="642"/>
      <c r="Z15" s="642"/>
      <c r="AA15" s="642"/>
      <c r="AB15" s="642"/>
      <c r="AC15" s="642"/>
      <c r="AD15" s="642"/>
      <c r="AE15" s="642"/>
      <c r="AF15" s="642"/>
      <c r="AG15" s="642"/>
      <c r="AH15" s="642"/>
      <c r="AI15" s="642"/>
      <c r="AJ15" s="642"/>
      <c r="AK15" s="642"/>
      <c r="AL15" s="642"/>
      <c r="AM15" s="642"/>
      <c r="AN15" s="642"/>
      <c r="AO15" s="642"/>
      <c r="AP15" s="642"/>
      <c r="AQ15" s="642"/>
      <c r="AR15" s="642"/>
      <c r="AS15" s="642"/>
      <c r="AT15" s="642"/>
      <c r="AU15" s="642"/>
      <c r="AV15" s="642"/>
      <c r="AW15" s="642"/>
      <c r="AX15" s="642"/>
      <c r="AY15" s="642"/>
      <c r="AZ15" s="642"/>
      <c r="BA15" s="642"/>
      <c r="BB15" s="642"/>
      <c r="BC15" s="642"/>
      <c r="BD15" s="642"/>
      <c r="BE15" s="642"/>
      <c r="BF15" s="642"/>
      <c r="BG15" s="642"/>
      <c r="BH15" s="642"/>
      <c r="BI15" s="642"/>
      <c r="BJ15" s="642"/>
      <c r="BK15" s="642"/>
      <c r="BL15" s="642"/>
      <c r="BM15" s="642"/>
      <c r="BN15" s="642"/>
      <c r="BO15" s="642"/>
      <c r="BP15" s="642"/>
      <c r="BQ15" s="642"/>
      <c r="BR15" s="642"/>
      <c r="BS15" s="642"/>
      <c r="BT15" s="642"/>
      <c r="BU15" s="642"/>
      <c r="BV15" s="642"/>
      <c r="BW15" s="642"/>
      <c r="BX15" s="642"/>
      <c r="BY15" s="642"/>
      <c r="BZ15" s="642"/>
      <c r="CA15" s="642"/>
      <c r="CB15" s="642"/>
      <c r="CC15" s="642"/>
      <c r="CD15" s="642"/>
      <c r="CE15" s="642"/>
      <c r="CF15" s="642"/>
      <c r="CG15" s="642"/>
      <c r="CH15" s="642"/>
      <c r="CI15" s="642"/>
      <c r="CJ15" s="642"/>
      <c r="CK15" s="642"/>
      <c r="CL15" s="642"/>
      <c r="CM15" s="642"/>
      <c r="CN15" s="642"/>
      <c r="CO15" s="642"/>
      <c r="CP15" s="642"/>
      <c r="CQ15" s="642"/>
      <c r="CR15" s="642"/>
      <c r="CS15" s="642"/>
      <c r="CT15" s="642"/>
      <c r="CU15" s="642"/>
      <c r="CV15" s="642"/>
      <c r="CW15" s="642"/>
      <c r="CX15" s="642"/>
      <c r="CY15" s="642"/>
      <c r="CZ15" s="642"/>
      <c r="DA15" s="642"/>
      <c r="DB15" s="642"/>
      <c r="DC15" s="642"/>
      <c r="DD15" s="642"/>
      <c r="DE15" s="642"/>
      <c r="DF15" s="642"/>
      <c r="DG15" s="642"/>
      <c r="DH15" s="642"/>
      <c r="DI15" s="642"/>
      <c r="DJ15" s="642"/>
      <c r="DK15" s="642"/>
      <c r="DL15" s="642"/>
      <c r="DM15" s="642"/>
      <c r="DN15" s="642"/>
      <c r="DO15" s="642"/>
      <c r="DP15" s="642"/>
      <c r="DQ15" s="642"/>
      <c r="DR15" s="642"/>
      <c r="DS15" s="642"/>
      <c r="DT15" s="642"/>
      <c r="DU15" s="642"/>
    </row>
    <row r="16" spans="1:125" s="599" customFormat="1">
      <c r="A16" s="955" t="s">
        <v>2266</v>
      </c>
      <c r="B16" s="1052" t="s">
        <v>346</v>
      </c>
      <c r="C16" s="1330" t="s">
        <v>408</v>
      </c>
      <c r="D16" s="702"/>
      <c r="E16" s="782"/>
      <c r="F16" s="782"/>
      <c r="G16" s="782"/>
      <c r="H16" s="968"/>
      <c r="I16" s="968"/>
      <c r="J16" s="968"/>
      <c r="K16" s="968"/>
      <c r="L16" s="968"/>
      <c r="M16" s="968"/>
      <c r="N16" s="774"/>
      <c r="O16" s="775"/>
      <c r="P16" s="711"/>
      <c r="Q16" s="642"/>
      <c r="R16" s="642"/>
      <c r="S16" s="642"/>
      <c r="T16" s="642"/>
      <c r="U16" s="642"/>
      <c r="V16" s="642"/>
      <c r="W16" s="642"/>
      <c r="X16" s="642"/>
      <c r="Y16" s="642"/>
      <c r="Z16" s="642"/>
      <c r="AA16" s="642"/>
      <c r="AB16" s="642"/>
      <c r="AC16" s="642"/>
      <c r="AD16" s="642"/>
      <c r="AE16" s="642"/>
      <c r="AF16" s="642"/>
      <c r="AG16" s="642"/>
      <c r="AH16" s="642"/>
      <c r="AI16" s="642"/>
      <c r="AJ16" s="642"/>
      <c r="AK16" s="642"/>
      <c r="AL16" s="642"/>
      <c r="AM16" s="642"/>
      <c r="AN16" s="642"/>
      <c r="AO16" s="642"/>
      <c r="AP16" s="642"/>
      <c r="AQ16" s="642"/>
      <c r="AR16" s="642"/>
      <c r="AS16" s="642"/>
      <c r="AT16" s="642"/>
      <c r="AU16" s="642"/>
      <c r="AV16" s="642"/>
      <c r="AW16" s="642"/>
      <c r="AX16" s="642"/>
      <c r="AY16" s="642"/>
      <c r="AZ16" s="642"/>
      <c r="BA16" s="642"/>
      <c r="BB16" s="642"/>
      <c r="BC16" s="642"/>
      <c r="BD16" s="642"/>
      <c r="BE16" s="642"/>
      <c r="BF16" s="642"/>
      <c r="BG16" s="642"/>
      <c r="BH16" s="642"/>
      <c r="BI16" s="642"/>
      <c r="BJ16" s="642"/>
      <c r="BK16" s="642"/>
      <c r="BL16" s="642"/>
      <c r="BM16" s="642"/>
      <c r="BN16" s="642"/>
      <c r="BO16" s="642"/>
      <c r="BP16" s="642"/>
      <c r="BQ16" s="642"/>
      <c r="BR16" s="642"/>
      <c r="BS16" s="642"/>
      <c r="BT16" s="642"/>
      <c r="BU16" s="642"/>
      <c r="BV16" s="642"/>
      <c r="BW16" s="642"/>
      <c r="BX16" s="642"/>
      <c r="BY16" s="642"/>
      <c r="BZ16" s="642"/>
      <c r="CA16" s="642"/>
      <c r="CB16" s="642"/>
      <c r="CC16" s="642"/>
      <c r="CD16" s="642"/>
      <c r="CE16" s="642"/>
      <c r="CF16" s="642"/>
      <c r="CG16" s="642"/>
      <c r="CH16" s="642"/>
      <c r="CI16" s="642"/>
      <c r="CJ16" s="642"/>
      <c r="CK16" s="642"/>
      <c r="CL16" s="642"/>
      <c r="CM16" s="642"/>
      <c r="CN16" s="642"/>
      <c r="CO16" s="642"/>
      <c r="CP16" s="642"/>
      <c r="CQ16" s="642"/>
      <c r="CR16" s="642"/>
      <c r="CS16" s="642"/>
      <c r="CT16" s="642"/>
      <c r="CU16" s="642"/>
      <c r="CV16" s="642"/>
      <c r="CW16" s="642"/>
      <c r="CX16" s="642"/>
      <c r="CY16" s="642"/>
      <c r="CZ16" s="642"/>
      <c r="DA16" s="642"/>
      <c r="DB16" s="642"/>
      <c r="DC16" s="642"/>
      <c r="DD16" s="642"/>
      <c r="DE16" s="642"/>
      <c r="DF16" s="642"/>
      <c r="DG16" s="642"/>
      <c r="DH16" s="642"/>
      <c r="DI16" s="642"/>
      <c r="DJ16" s="642"/>
      <c r="DK16" s="642"/>
      <c r="DL16" s="642"/>
      <c r="DM16" s="642"/>
      <c r="DN16" s="642"/>
      <c r="DO16" s="642"/>
      <c r="DP16" s="642"/>
      <c r="DQ16" s="642"/>
      <c r="DR16" s="642"/>
      <c r="DS16" s="642"/>
      <c r="DT16" s="642"/>
      <c r="DU16" s="642"/>
    </row>
    <row r="17" spans="1:125" s="599" customFormat="1">
      <c r="A17" s="957" t="s">
        <v>441</v>
      </c>
      <c r="B17" s="946" t="s">
        <v>438</v>
      </c>
      <c r="C17" s="1328"/>
      <c r="D17" s="737" t="s">
        <v>18</v>
      </c>
      <c r="E17" s="782">
        <v>40</v>
      </c>
      <c r="F17" s="782">
        <v>10</v>
      </c>
      <c r="G17" s="782">
        <v>15</v>
      </c>
      <c r="H17" s="968">
        <v>20</v>
      </c>
      <c r="I17" s="968">
        <v>5</v>
      </c>
      <c r="J17" s="968">
        <v>10</v>
      </c>
      <c r="K17" s="968">
        <v>15</v>
      </c>
      <c r="L17" s="968">
        <v>15</v>
      </c>
      <c r="M17" s="968">
        <v>100</v>
      </c>
      <c r="N17" s="774">
        <f t="shared" ref="N17:N27" si="4">SUM(E17:M17)</f>
        <v>230</v>
      </c>
      <c r="O17" s="771"/>
      <c r="P17" s="711">
        <f t="shared" ref="P17:P63" si="5">N17*O17</f>
        <v>0</v>
      </c>
      <c r="Q17" s="642"/>
      <c r="R17" s="642"/>
      <c r="S17" s="642"/>
      <c r="T17" s="642"/>
      <c r="U17" s="642"/>
      <c r="V17" s="642"/>
      <c r="W17" s="642"/>
      <c r="X17" s="642"/>
      <c r="Y17" s="642"/>
      <c r="Z17" s="642"/>
      <c r="AA17" s="642"/>
      <c r="AB17" s="642"/>
      <c r="AC17" s="642"/>
      <c r="AD17" s="642"/>
      <c r="AE17" s="642"/>
      <c r="AF17" s="642"/>
      <c r="AG17" s="642"/>
      <c r="AH17" s="642"/>
      <c r="AI17" s="642"/>
      <c r="AJ17" s="642"/>
      <c r="AK17" s="642"/>
      <c r="AL17" s="642"/>
      <c r="AM17" s="642"/>
      <c r="AN17" s="642"/>
      <c r="AO17" s="642"/>
      <c r="AP17" s="642"/>
      <c r="AQ17" s="642"/>
      <c r="AR17" s="642"/>
      <c r="AS17" s="642"/>
      <c r="AT17" s="642"/>
      <c r="AU17" s="642"/>
      <c r="AV17" s="642"/>
      <c r="AW17" s="642"/>
      <c r="AX17" s="642"/>
      <c r="AY17" s="642"/>
      <c r="AZ17" s="642"/>
      <c r="BA17" s="642"/>
      <c r="BB17" s="642"/>
      <c r="BC17" s="642"/>
      <c r="BD17" s="642"/>
      <c r="BE17" s="642"/>
      <c r="BF17" s="642"/>
      <c r="BG17" s="642"/>
      <c r="BH17" s="642"/>
      <c r="BI17" s="642"/>
      <c r="BJ17" s="642"/>
      <c r="BK17" s="642"/>
      <c r="BL17" s="642"/>
      <c r="BM17" s="642"/>
      <c r="BN17" s="642"/>
      <c r="BO17" s="642"/>
      <c r="BP17" s="642"/>
      <c r="BQ17" s="642"/>
      <c r="BR17" s="642"/>
      <c r="BS17" s="642"/>
      <c r="BT17" s="642"/>
      <c r="BU17" s="642"/>
      <c r="BV17" s="642"/>
      <c r="BW17" s="642"/>
      <c r="BX17" s="642"/>
      <c r="BY17" s="642"/>
      <c r="BZ17" s="642"/>
      <c r="CA17" s="642"/>
      <c r="CB17" s="642"/>
      <c r="CC17" s="642"/>
      <c r="CD17" s="642"/>
      <c r="CE17" s="642"/>
      <c r="CF17" s="642"/>
      <c r="CG17" s="642"/>
      <c r="CH17" s="642"/>
      <c r="CI17" s="642"/>
      <c r="CJ17" s="642"/>
      <c r="CK17" s="642"/>
      <c r="CL17" s="642"/>
      <c r="CM17" s="642"/>
      <c r="CN17" s="642"/>
      <c r="CO17" s="642"/>
      <c r="CP17" s="642"/>
      <c r="CQ17" s="642"/>
      <c r="CR17" s="642"/>
      <c r="CS17" s="642"/>
      <c r="CT17" s="642"/>
      <c r="CU17" s="642"/>
      <c r="CV17" s="642"/>
      <c r="CW17" s="642"/>
      <c r="CX17" s="642"/>
      <c r="CY17" s="642"/>
      <c r="CZ17" s="642"/>
      <c r="DA17" s="642"/>
      <c r="DB17" s="642"/>
      <c r="DC17" s="642"/>
      <c r="DD17" s="642"/>
      <c r="DE17" s="642"/>
      <c r="DF17" s="642"/>
      <c r="DG17" s="642"/>
      <c r="DH17" s="642"/>
      <c r="DI17" s="642"/>
      <c r="DJ17" s="642"/>
      <c r="DK17" s="642"/>
      <c r="DL17" s="642"/>
      <c r="DM17" s="642"/>
      <c r="DN17" s="642"/>
      <c r="DO17" s="642"/>
      <c r="DP17" s="642"/>
      <c r="DQ17" s="642"/>
      <c r="DR17" s="642"/>
      <c r="DS17" s="642"/>
      <c r="DT17" s="642"/>
      <c r="DU17" s="642"/>
    </row>
    <row r="18" spans="1:125" s="599" customFormat="1">
      <c r="A18" s="957" t="s">
        <v>442</v>
      </c>
      <c r="B18" s="946" t="s">
        <v>452</v>
      </c>
      <c r="C18" s="1328"/>
      <c r="D18" s="737" t="s">
        <v>18</v>
      </c>
      <c r="E18" s="782">
        <v>150</v>
      </c>
      <c r="F18" s="782">
        <v>90</v>
      </c>
      <c r="G18" s="782">
        <v>120</v>
      </c>
      <c r="H18" s="968">
        <v>20</v>
      </c>
      <c r="I18" s="968">
        <v>20</v>
      </c>
      <c r="J18" s="968">
        <v>20</v>
      </c>
      <c r="K18" s="968">
        <v>50</v>
      </c>
      <c r="L18" s="968">
        <v>60</v>
      </c>
      <c r="M18" s="968">
        <v>20</v>
      </c>
      <c r="N18" s="774">
        <f t="shared" si="4"/>
        <v>550</v>
      </c>
      <c r="O18" s="771"/>
      <c r="P18" s="711">
        <f t="shared" si="5"/>
        <v>0</v>
      </c>
      <c r="Q18" s="642"/>
      <c r="R18" s="642"/>
      <c r="S18" s="642"/>
      <c r="T18" s="642"/>
      <c r="U18" s="642"/>
      <c r="V18" s="642"/>
      <c r="W18" s="642"/>
      <c r="X18" s="642"/>
      <c r="Y18" s="642"/>
      <c r="Z18" s="642"/>
      <c r="AA18" s="642"/>
      <c r="AB18" s="642"/>
      <c r="AC18" s="642"/>
      <c r="AD18" s="642"/>
      <c r="AE18" s="642"/>
      <c r="AF18" s="642"/>
      <c r="AG18" s="642"/>
      <c r="AH18" s="642"/>
      <c r="AI18" s="642"/>
      <c r="AJ18" s="642"/>
      <c r="AK18" s="642"/>
      <c r="AL18" s="642"/>
      <c r="AM18" s="642"/>
      <c r="AN18" s="642"/>
      <c r="AO18" s="642"/>
      <c r="AP18" s="642"/>
      <c r="AQ18" s="642"/>
      <c r="AR18" s="642"/>
      <c r="AS18" s="642"/>
      <c r="AT18" s="642"/>
      <c r="AU18" s="642"/>
      <c r="AV18" s="642"/>
      <c r="AW18" s="642"/>
      <c r="AX18" s="642"/>
      <c r="AY18" s="642"/>
      <c r="AZ18" s="642"/>
      <c r="BA18" s="642"/>
      <c r="BB18" s="642"/>
      <c r="BC18" s="642"/>
      <c r="BD18" s="642"/>
      <c r="BE18" s="642"/>
      <c r="BF18" s="642"/>
      <c r="BG18" s="642"/>
      <c r="BH18" s="642"/>
      <c r="BI18" s="642"/>
      <c r="BJ18" s="642"/>
      <c r="BK18" s="642"/>
      <c r="BL18" s="642"/>
      <c r="BM18" s="642"/>
      <c r="BN18" s="642"/>
      <c r="BO18" s="642"/>
      <c r="BP18" s="642"/>
      <c r="BQ18" s="642"/>
      <c r="BR18" s="642"/>
      <c r="BS18" s="642"/>
      <c r="BT18" s="642"/>
      <c r="BU18" s="642"/>
      <c r="BV18" s="642"/>
      <c r="BW18" s="642"/>
      <c r="BX18" s="642"/>
      <c r="BY18" s="642"/>
      <c r="BZ18" s="642"/>
      <c r="CA18" s="642"/>
      <c r="CB18" s="642"/>
      <c r="CC18" s="642"/>
      <c r="CD18" s="642"/>
      <c r="CE18" s="642"/>
      <c r="CF18" s="642"/>
      <c r="CG18" s="642"/>
      <c r="CH18" s="642"/>
      <c r="CI18" s="642"/>
      <c r="CJ18" s="642"/>
      <c r="CK18" s="642"/>
      <c r="CL18" s="642"/>
      <c r="CM18" s="642"/>
      <c r="CN18" s="642"/>
      <c r="CO18" s="642"/>
      <c r="CP18" s="642"/>
      <c r="CQ18" s="642"/>
      <c r="CR18" s="642"/>
      <c r="CS18" s="642"/>
      <c r="CT18" s="642"/>
      <c r="CU18" s="642"/>
      <c r="CV18" s="642"/>
      <c r="CW18" s="642"/>
      <c r="CX18" s="642"/>
      <c r="CY18" s="642"/>
      <c r="CZ18" s="642"/>
      <c r="DA18" s="642"/>
      <c r="DB18" s="642"/>
      <c r="DC18" s="642"/>
      <c r="DD18" s="642"/>
      <c r="DE18" s="642"/>
      <c r="DF18" s="642"/>
      <c r="DG18" s="642"/>
      <c r="DH18" s="642"/>
      <c r="DI18" s="642"/>
      <c r="DJ18" s="642"/>
      <c r="DK18" s="642"/>
      <c r="DL18" s="642"/>
      <c r="DM18" s="642"/>
      <c r="DN18" s="642"/>
      <c r="DO18" s="642"/>
      <c r="DP18" s="642"/>
      <c r="DQ18" s="642"/>
      <c r="DR18" s="642"/>
      <c r="DS18" s="642"/>
      <c r="DT18" s="642"/>
      <c r="DU18" s="642"/>
    </row>
    <row r="19" spans="1:125" s="599" customFormat="1">
      <c r="A19" s="957" t="s">
        <v>443</v>
      </c>
      <c r="B19" s="946" t="s">
        <v>453</v>
      </c>
      <c r="C19" s="1328"/>
      <c r="D19" s="737" t="s">
        <v>18</v>
      </c>
      <c r="E19" s="782">
        <v>90</v>
      </c>
      <c r="F19" s="782">
        <v>80</v>
      </c>
      <c r="G19" s="782">
        <v>60</v>
      </c>
      <c r="H19" s="968">
        <v>90</v>
      </c>
      <c r="I19" s="968">
        <v>20</v>
      </c>
      <c r="J19" s="968">
        <v>30</v>
      </c>
      <c r="K19" s="968">
        <v>20</v>
      </c>
      <c r="L19" s="968">
        <v>20</v>
      </c>
      <c r="M19" s="968">
        <v>150</v>
      </c>
      <c r="N19" s="774">
        <f t="shared" si="4"/>
        <v>560</v>
      </c>
      <c r="O19" s="771"/>
      <c r="P19" s="711">
        <f t="shared" si="5"/>
        <v>0</v>
      </c>
      <c r="Q19" s="642"/>
      <c r="R19" s="642"/>
      <c r="S19" s="642"/>
      <c r="T19" s="642"/>
      <c r="U19" s="642"/>
      <c r="V19" s="642"/>
      <c r="W19" s="642"/>
      <c r="X19" s="642"/>
      <c r="Y19" s="642"/>
      <c r="Z19" s="642"/>
      <c r="AA19" s="642"/>
      <c r="AB19" s="642"/>
      <c r="AC19" s="642"/>
      <c r="AD19" s="642"/>
      <c r="AE19" s="642"/>
      <c r="AF19" s="642"/>
      <c r="AG19" s="642"/>
      <c r="AH19" s="642"/>
      <c r="AI19" s="642"/>
      <c r="AJ19" s="642"/>
      <c r="AK19" s="642"/>
      <c r="AL19" s="642"/>
      <c r="AM19" s="642"/>
      <c r="AN19" s="642"/>
      <c r="AO19" s="642"/>
      <c r="AP19" s="642"/>
      <c r="AQ19" s="642"/>
      <c r="AR19" s="642"/>
      <c r="AS19" s="642"/>
      <c r="AT19" s="642"/>
      <c r="AU19" s="642"/>
      <c r="AV19" s="642"/>
      <c r="AW19" s="642"/>
      <c r="AX19" s="642"/>
      <c r="AY19" s="642"/>
      <c r="AZ19" s="642"/>
      <c r="BA19" s="642"/>
      <c r="BB19" s="642"/>
      <c r="BC19" s="642"/>
      <c r="BD19" s="642"/>
      <c r="BE19" s="642"/>
      <c r="BF19" s="642"/>
      <c r="BG19" s="642"/>
      <c r="BH19" s="642"/>
      <c r="BI19" s="642"/>
      <c r="BJ19" s="642"/>
      <c r="BK19" s="642"/>
      <c r="BL19" s="642"/>
      <c r="BM19" s="642"/>
      <c r="BN19" s="642"/>
      <c r="BO19" s="642"/>
      <c r="BP19" s="642"/>
      <c r="BQ19" s="642"/>
      <c r="BR19" s="642"/>
      <c r="BS19" s="642"/>
      <c r="BT19" s="642"/>
      <c r="BU19" s="642"/>
      <c r="BV19" s="642"/>
      <c r="BW19" s="642"/>
      <c r="BX19" s="642"/>
      <c r="BY19" s="642"/>
      <c r="BZ19" s="642"/>
      <c r="CA19" s="642"/>
      <c r="CB19" s="642"/>
      <c r="CC19" s="642"/>
      <c r="CD19" s="642"/>
      <c r="CE19" s="642"/>
      <c r="CF19" s="642"/>
      <c r="CG19" s="642"/>
      <c r="CH19" s="642"/>
      <c r="CI19" s="642"/>
      <c r="CJ19" s="642"/>
      <c r="CK19" s="642"/>
      <c r="CL19" s="642"/>
      <c r="CM19" s="642"/>
      <c r="CN19" s="642"/>
      <c r="CO19" s="642"/>
      <c r="CP19" s="642"/>
      <c r="CQ19" s="642"/>
      <c r="CR19" s="642"/>
      <c r="CS19" s="642"/>
      <c r="CT19" s="642"/>
      <c r="CU19" s="642"/>
      <c r="CV19" s="642"/>
      <c r="CW19" s="642"/>
      <c r="CX19" s="642"/>
      <c r="CY19" s="642"/>
      <c r="CZ19" s="642"/>
      <c r="DA19" s="642"/>
      <c r="DB19" s="642"/>
      <c r="DC19" s="642"/>
      <c r="DD19" s="642"/>
      <c r="DE19" s="642"/>
      <c r="DF19" s="642"/>
      <c r="DG19" s="642"/>
      <c r="DH19" s="642"/>
      <c r="DI19" s="642"/>
      <c r="DJ19" s="642"/>
      <c r="DK19" s="642"/>
      <c r="DL19" s="642"/>
      <c r="DM19" s="642"/>
      <c r="DN19" s="642"/>
      <c r="DO19" s="642"/>
      <c r="DP19" s="642"/>
      <c r="DQ19" s="642"/>
      <c r="DR19" s="642"/>
      <c r="DS19" s="642"/>
      <c r="DT19" s="642"/>
      <c r="DU19" s="642"/>
    </row>
    <row r="20" spans="1:125" s="599" customFormat="1">
      <c r="A20" s="957" t="s">
        <v>2267</v>
      </c>
      <c r="B20" s="946" t="s">
        <v>599</v>
      </c>
      <c r="C20" s="1328"/>
      <c r="D20" s="737" t="s">
        <v>18</v>
      </c>
      <c r="E20" s="782">
        <v>10</v>
      </c>
      <c r="F20" s="782">
        <v>10</v>
      </c>
      <c r="G20" s="782">
        <v>10</v>
      </c>
      <c r="H20" s="968">
        <v>10</v>
      </c>
      <c r="I20" s="968">
        <v>10</v>
      </c>
      <c r="J20" s="968">
        <v>10</v>
      </c>
      <c r="K20" s="968">
        <v>16</v>
      </c>
      <c r="L20" s="968">
        <f>15+2</f>
        <v>17</v>
      </c>
      <c r="M20" s="968">
        <v>10</v>
      </c>
      <c r="N20" s="774">
        <f t="shared" si="4"/>
        <v>103</v>
      </c>
      <c r="O20" s="771"/>
      <c r="P20" s="711">
        <f t="shared" si="5"/>
        <v>0</v>
      </c>
      <c r="Q20" s="642"/>
      <c r="R20" s="642"/>
      <c r="S20" s="642"/>
      <c r="T20" s="642"/>
      <c r="U20" s="642"/>
      <c r="V20" s="642"/>
      <c r="W20" s="642"/>
      <c r="X20" s="642"/>
      <c r="Y20" s="642"/>
      <c r="Z20" s="642"/>
      <c r="AA20" s="642"/>
      <c r="AB20" s="642"/>
      <c r="AC20" s="642"/>
      <c r="AD20" s="642"/>
      <c r="AE20" s="642"/>
      <c r="AF20" s="642"/>
      <c r="AG20" s="642"/>
      <c r="AH20" s="642"/>
      <c r="AI20" s="642"/>
      <c r="AJ20" s="642"/>
      <c r="AK20" s="642"/>
      <c r="AL20" s="642"/>
      <c r="AM20" s="642"/>
      <c r="AN20" s="642"/>
      <c r="AO20" s="642"/>
      <c r="AP20" s="642"/>
      <c r="AQ20" s="642"/>
      <c r="AR20" s="642"/>
      <c r="AS20" s="642"/>
      <c r="AT20" s="642"/>
      <c r="AU20" s="642"/>
      <c r="AV20" s="642"/>
      <c r="AW20" s="642"/>
      <c r="AX20" s="642"/>
      <c r="AY20" s="642"/>
      <c r="AZ20" s="642"/>
      <c r="BA20" s="642"/>
      <c r="BB20" s="642"/>
      <c r="BC20" s="642"/>
      <c r="BD20" s="642"/>
      <c r="BE20" s="642"/>
      <c r="BF20" s="642"/>
      <c r="BG20" s="642"/>
      <c r="BH20" s="642"/>
      <c r="BI20" s="642"/>
      <c r="BJ20" s="642"/>
      <c r="BK20" s="642"/>
      <c r="BL20" s="642"/>
      <c r="BM20" s="642"/>
      <c r="BN20" s="642"/>
      <c r="BO20" s="642"/>
      <c r="BP20" s="642"/>
      <c r="BQ20" s="642"/>
      <c r="BR20" s="642"/>
      <c r="BS20" s="642"/>
      <c r="BT20" s="642"/>
      <c r="BU20" s="642"/>
      <c r="BV20" s="642"/>
      <c r="BW20" s="642"/>
      <c r="BX20" s="642"/>
      <c r="BY20" s="642"/>
      <c r="BZ20" s="642"/>
      <c r="CA20" s="642"/>
      <c r="CB20" s="642"/>
      <c r="CC20" s="642"/>
      <c r="CD20" s="642"/>
      <c r="CE20" s="642"/>
      <c r="CF20" s="642"/>
      <c r="CG20" s="642"/>
      <c r="CH20" s="642"/>
      <c r="CI20" s="642"/>
      <c r="CJ20" s="642"/>
      <c r="CK20" s="642"/>
      <c r="CL20" s="642"/>
      <c r="CM20" s="642"/>
      <c r="CN20" s="642"/>
      <c r="CO20" s="642"/>
      <c r="CP20" s="642"/>
      <c r="CQ20" s="642"/>
      <c r="CR20" s="642"/>
      <c r="CS20" s="642"/>
      <c r="CT20" s="642"/>
      <c r="CU20" s="642"/>
      <c r="CV20" s="642"/>
      <c r="CW20" s="642"/>
      <c r="CX20" s="642"/>
      <c r="CY20" s="642"/>
      <c r="CZ20" s="642"/>
      <c r="DA20" s="642"/>
      <c r="DB20" s="642"/>
      <c r="DC20" s="642"/>
      <c r="DD20" s="642"/>
      <c r="DE20" s="642"/>
      <c r="DF20" s="642"/>
      <c r="DG20" s="642"/>
      <c r="DH20" s="642"/>
      <c r="DI20" s="642"/>
      <c r="DJ20" s="642"/>
      <c r="DK20" s="642"/>
      <c r="DL20" s="642"/>
      <c r="DM20" s="642"/>
      <c r="DN20" s="642"/>
      <c r="DO20" s="642"/>
      <c r="DP20" s="642"/>
      <c r="DQ20" s="642"/>
      <c r="DR20" s="642"/>
      <c r="DS20" s="642"/>
      <c r="DT20" s="642"/>
      <c r="DU20" s="642"/>
    </row>
    <row r="21" spans="1:125" s="599" customFormat="1">
      <c r="A21" s="957" t="s">
        <v>2268</v>
      </c>
      <c r="B21" s="946" t="s">
        <v>536</v>
      </c>
      <c r="C21" s="1328"/>
      <c r="D21" s="737" t="s">
        <v>18</v>
      </c>
      <c r="E21" s="782">
        <v>50</v>
      </c>
      <c r="F21" s="782">
        <v>20</v>
      </c>
      <c r="G21" s="782">
        <v>20</v>
      </c>
      <c r="H21" s="968">
        <v>20</v>
      </c>
      <c r="I21" s="968">
        <v>20</v>
      </c>
      <c r="J21" s="968">
        <v>20</v>
      </c>
      <c r="K21" s="968">
        <v>30</v>
      </c>
      <c r="L21" s="968">
        <v>20</v>
      </c>
      <c r="M21" s="968">
        <v>20</v>
      </c>
      <c r="N21" s="774">
        <f t="shared" si="4"/>
        <v>220</v>
      </c>
      <c r="O21" s="771"/>
      <c r="P21" s="711">
        <f t="shared" si="5"/>
        <v>0</v>
      </c>
      <c r="Q21" s="642"/>
      <c r="R21" s="642"/>
      <c r="S21" s="642"/>
      <c r="T21" s="642"/>
      <c r="U21" s="642"/>
      <c r="V21" s="642"/>
      <c r="W21" s="642"/>
      <c r="X21" s="642"/>
      <c r="Y21" s="642"/>
      <c r="Z21" s="642"/>
      <c r="AA21" s="642"/>
      <c r="AB21" s="642"/>
      <c r="AC21" s="642"/>
      <c r="AD21" s="642"/>
      <c r="AE21" s="642"/>
      <c r="AF21" s="642"/>
      <c r="AG21" s="642"/>
      <c r="AH21" s="642"/>
      <c r="AI21" s="642"/>
      <c r="AJ21" s="642"/>
      <c r="AK21" s="642"/>
      <c r="AL21" s="642"/>
      <c r="AM21" s="642"/>
      <c r="AN21" s="642"/>
      <c r="AO21" s="642"/>
      <c r="AP21" s="642"/>
      <c r="AQ21" s="642"/>
      <c r="AR21" s="642"/>
      <c r="AS21" s="642"/>
      <c r="AT21" s="642"/>
      <c r="AU21" s="642"/>
      <c r="AV21" s="642"/>
      <c r="AW21" s="642"/>
      <c r="AX21" s="642"/>
      <c r="AY21" s="642"/>
      <c r="AZ21" s="642"/>
      <c r="BA21" s="642"/>
      <c r="BB21" s="642"/>
      <c r="BC21" s="642"/>
      <c r="BD21" s="642"/>
      <c r="BE21" s="642"/>
      <c r="BF21" s="642"/>
      <c r="BG21" s="642"/>
      <c r="BH21" s="642"/>
      <c r="BI21" s="642"/>
      <c r="BJ21" s="642"/>
      <c r="BK21" s="642"/>
      <c r="BL21" s="642"/>
      <c r="BM21" s="642"/>
      <c r="BN21" s="642"/>
      <c r="BO21" s="642"/>
      <c r="BP21" s="642"/>
      <c r="BQ21" s="642"/>
      <c r="BR21" s="642"/>
      <c r="BS21" s="642"/>
      <c r="BT21" s="642"/>
      <c r="BU21" s="642"/>
      <c r="BV21" s="642"/>
      <c r="BW21" s="642"/>
      <c r="BX21" s="642"/>
      <c r="BY21" s="642"/>
      <c r="BZ21" s="642"/>
      <c r="CA21" s="642"/>
      <c r="CB21" s="642"/>
      <c r="CC21" s="642"/>
      <c r="CD21" s="642"/>
      <c r="CE21" s="642"/>
      <c r="CF21" s="642"/>
      <c r="CG21" s="642"/>
      <c r="CH21" s="642"/>
      <c r="CI21" s="642"/>
      <c r="CJ21" s="642"/>
      <c r="CK21" s="642"/>
      <c r="CL21" s="642"/>
      <c r="CM21" s="642"/>
      <c r="CN21" s="642"/>
      <c r="CO21" s="642"/>
      <c r="CP21" s="642"/>
      <c r="CQ21" s="642"/>
      <c r="CR21" s="642"/>
      <c r="CS21" s="642"/>
      <c r="CT21" s="642"/>
      <c r="CU21" s="642"/>
      <c r="CV21" s="642"/>
      <c r="CW21" s="642"/>
      <c r="CX21" s="642"/>
      <c r="CY21" s="642"/>
      <c r="CZ21" s="642"/>
      <c r="DA21" s="642"/>
      <c r="DB21" s="642"/>
      <c r="DC21" s="642"/>
      <c r="DD21" s="642"/>
      <c r="DE21" s="642"/>
      <c r="DF21" s="642"/>
      <c r="DG21" s="642"/>
      <c r="DH21" s="642"/>
      <c r="DI21" s="642"/>
      <c r="DJ21" s="642"/>
      <c r="DK21" s="642"/>
      <c r="DL21" s="642"/>
      <c r="DM21" s="642"/>
      <c r="DN21" s="642"/>
      <c r="DO21" s="642"/>
      <c r="DP21" s="642"/>
      <c r="DQ21" s="642"/>
      <c r="DR21" s="642"/>
      <c r="DS21" s="642"/>
      <c r="DT21" s="642"/>
      <c r="DU21" s="642"/>
    </row>
    <row r="22" spans="1:125" s="599" customFormat="1">
      <c r="A22" s="957" t="s">
        <v>2269</v>
      </c>
      <c r="B22" s="946" t="s">
        <v>454</v>
      </c>
      <c r="C22" s="1328"/>
      <c r="D22" s="737" t="s">
        <v>18</v>
      </c>
      <c r="E22" s="782">
        <v>30</v>
      </c>
      <c r="F22" s="782">
        <v>10</v>
      </c>
      <c r="G22" s="782">
        <v>20</v>
      </c>
      <c r="H22" s="968">
        <v>20</v>
      </c>
      <c r="I22" s="968">
        <v>10</v>
      </c>
      <c r="J22" s="968">
        <v>10</v>
      </c>
      <c r="K22" s="968">
        <v>60</v>
      </c>
      <c r="L22" s="968">
        <v>20</v>
      </c>
      <c r="M22" s="968">
        <v>60</v>
      </c>
      <c r="N22" s="774">
        <f t="shared" si="4"/>
        <v>240</v>
      </c>
      <c r="O22" s="771"/>
      <c r="P22" s="711">
        <f t="shared" si="5"/>
        <v>0</v>
      </c>
      <c r="Q22" s="642"/>
      <c r="R22" s="642"/>
      <c r="S22" s="642"/>
      <c r="T22" s="642"/>
      <c r="U22" s="642"/>
      <c r="V22" s="642"/>
      <c r="W22" s="642"/>
      <c r="X22" s="642"/>
      <c r="Y22" s="642"/>
      <c r="Z22" s="642"/>
      <c r="AA22" s="642"/>
      <c r="AB22" s="642"/>
      <c r="AC22" s="642"/>
      <c r="AD22" s="642"/>
      <c r="AE22" s="642"/>
      <c r="AF22" s="642"/>
      <c r="AG22" s="642"/>
      <c r="AH22" s="642"/>
      <c r="AI22" s="642"/>
      <c r="AJ22" s="642"/>
      <c r="AK22" s="642"/>
      <c r="AL22" s="642"/>
      <c r="AM22" s="642"/>
      <c r="AN22" s="642"/>
      <c r="AO22" s="642"/>
      <c r="AP22" s="642"/>
      <c r="AQ22" s="642"/>
      <c r="AR22" s="642"/>
      <c r="AS22" s="642"/>
      <c r="AT22" s="642"/>
      <c r="AU22" s="642"/>
      <c r="AV22" s="642"/>
      <c r="AW22" s="642"/>
      <c r="AX22" s="642"/>
      <c r="AY22" s="642"/>
      <c r="AZ22" s="642"/>
      <c r="BA22" s="642"/>
      <c r="BB22" s="642"/>
      <c r="BC22" s="642"/>
      <c r="BD22" s="642"/>
      <c r="BE22" s="642"/>
      <c r="BF22" s="642"/>
      <c r="BG22" s="642"/>
      <c r="BH22" s="642"/>
      <c r="BI22" s="642"/>
      <c r="BJ22" s="642"/>
      <c r="BK22" s="642"/>
      <c r="BL22" s="642"/>
      <c r="BM22" s="642"/>
      <c r="BN22" s="642"/>
      <c r="BO22" s="642"/>
      <c r="BP22" s="642"/>
      <c r="BQ22" s="642"/>
      <c r="BR22" s="642"/>
      <c r="BS22" s="642"/>
      <c r="BT22" s="642"/>
      <c r="BU22" s="642"/>
      <c r="BV22" s="642"/>
      <c r="BW22" s="642"/>
      <c r="BX22" s="642"/>
      <c r="BY22" s="642"/>
      <c r="BZ22" s="642"/>
      <c r="CA22" s="642"/>
      <c r="CB22" s="642"/>
      <c r="CC22" s="642"/>
      <c r="CD22" s="642"/>
      <c r="CE22" s="642"/>
      <c r="CF22" s="642"/>
      <c r="CG22" s="642"/>
      <c r="CH22" s="642"/>
      <c r="CI22" s="642"/>
      <c r="CJ22" s="642"/>
      <c r="CK22" s="642"/>
      <c r="CL22" s="642"/>
      <c r="CM22" s="642"/>
      <c r="CN22" s="642"/>
      <c r="CO22" s="642"/>
      <c r="CP22" s="642"/>
      <c r="CQ22" s="642"/>
      <c r="CR22" s="642"/>
      <c r="CS22" s="642"/>
      <c r="CT22" s="642"/>
      <c r="CU22" s="642"/>
      <c r="CV22" s="642"/>
      <c r="CW22" s="642"/>
      <c r="CX22" s="642"/>
      <c r="CY22" s="642"/>
      <c r="CZ22" s="642"/>
      <c r="DA22" s="642"/>
      <c r="DB22" s="642"/>
      <c r="DC22" s="642"/>
      <c r="DD22" s="642"/>
      <c r="DE22" s="642"/>
      <c r="DF22" s="642"/>
      <c r="DG22" s="642"/>
      <c r="DH22" s="642"/>
      <c r="DI22" s="642"/>
      <c r="DJ22" s="642"/>
      <c r="DK22" s="642"/>
      <c r="DL22" s="642"/>
      <c r="DM22" s="642"/>
      <c r="DN22" s="642"/>
      <c r="DO22" s="642"/>
      <c r="DP22" s="642"/>
      <c r="DQ22" s="642"/>
      <c r="DR22" s="642"/>
      <c r="DS22" s="642"/>
      <c r="DT22" s="642"/>
      <c r="DU22" s="642"/>
    </row>
    <row r="23" spans="1:125" s="599" customFormat="1">
      <c r="A23" s="957" t="s">
        <v>2270</v>
      </c>
      <c r="B23" s="946" t="s">
        <v>455</v>
      </c>
      <c r="C23" s="1328"/>
      <c r="D23" s="737" t="s">
        <v>18</v>
      </c>
      <c r="E23" s="782">
        <v>150</v>
      </c>
      <c r="F23" s="782">
        <v>90</v>
      </c>
      <c r="G23" s="782">
        <v>90</v>
      </c>
      <c r="H23" s="968">
        <v>30</v>
      </c>
      <c r="I23" s="968">
        <v>30</v>
      </c>
      <c r="J23" s="968">
        <v>30</v>
      </c>
      <c r="K23" s="968">
        <v>90</v>
      </c>
      <c r="L23" s="968">
        <v>50</v>
      </c>
      <c r="M23" s="968">
        <v>30</v>
      </c>
      <c r="N23" s="774">
        <f t="shared" si="4"/>
        <v>590</v>
      </c>
      <c r="O23" s="771"/>
      <c r="P23" s="711">
        <f t="shared" si="5"/>
        <v>0</v>
      </c>
      <c r="Q23" s="642"/>
      <c r="R23" s="642"/>
      <c r="S23" s="642"/>
      <c r="T23" s="642"/>
      <c r="U23" s="642"/>
      <c r="V23" s="642"/>
      <c r="W23" s="642"/>
      <c r="X23" s="642"/>
      <c r="Y23" s="642"/>
      <c r="Z23" s="642"/>
      <c r="AA23" s="642"/>
      <c r="AB23" s="642"/>
      <c r="AC23" s="642"/>
      <c r="AD23" s="642"/>
      <c r="AE23" s="642"/>
      <c r="AF23" s="642"/>
      <c r="AG23" s="642"/>
      <c r="AH23" s="642"/>
      <c r="AI23" s="642"/>
      <c r="AJ23" s="642"/>
      <c r="AK23" s="642"/>
      <c r="AL23" s="642"/>
      <c r="AM23" s="642"/>
      <c r="AN23" s="642"/>
      <c r="AO23" s="642"/>
      <c r="AP23" s="642"/>
      <c r="AQ23" s="642"/>
      <c r="AR23" s="642"/>
      <c r="AS23" s="642"/>
      <c r="AT23" s="642"/>
      <c r="AU23" s="642"/>
      <c r="AV23" s="642"/>
      <c r="AW23" s="642"/>
      <c r="AX23" s="642"/>
      <c r="AY23" s="642"/>
      <c r="AZ23" s="642"/>
      <c r="BA23" s="642"/>
      <c r="BB23" s="642"/>
      <c r="BC23" s="642"/>
      <c r="BD23" s="642"/>
      <c r="BE23" s="642"/>
      <c r="BF23" s="642"/>
      <c r="BG23" s="642"/>
      <c r="BH23" s="642"/>
      <c r="BI23" s="642"/>
      <c r="BJ23" s="642"/>
      <c r="BK23" s="642"/>
      <c r="BL23" s="642"/>
      <c r="BM23" s="642"/>
      <c r="BN23" s="642"/>
      <c r="BO23" s="642"/>
      <c r="BP23" s="642"/>
      <c r="BQ23" s="642"/>
      <c r="BR23" s="642"/>
      <c r="BS23" s="642"/>
      <c r="BT23" s="642"/>
      <c r="BU23" s="642"/>
      <c r="BV23" s="642"/>
      <c r="BW23" s="642"/>
      <c r="BX23" s="642"/>
      <c r="BY23" s="642"/>
      <c r="BZ23" s="642"/>
      <c r="CA23" s="642"/>
      <c r="CB23" s="642"/>
      <c r="CC23" s="642"/>
      <c r="CD23" s="642"/>
      <c r="CE23" s="642"/>
      <c r="CF23" s="642"/>
      <c r="CG23" s="642"/>
      <c r="CH23" s="642"/>
      <c r="CI23" s="642"/>
      <c r="CJ23" s="642"/>
      <c r="CK23" s="642"/>
      <c r="CL23" s="642"/>
      <c r="CM23" s="642"/>
      <c r="CN23" s="642"/>
      <c r="CO23" s="642"/>
      <c r="CP23" s="642"/>
      <c r="CQ23" s="642"/>
      <c r="CR23" s="642"/>
      <c r="CS23" s="642"/>
      <c r="CT23" s="642"/>
      <c r="CU23" s="642"/>
      <c r="CV23" s="642"/>
      <c r="CW23" s="642"/>
      <c r="CX23" s="642"/>
      <c r="CY23" s="642"/>
      <c r="CZ23" s="642"/>
      <c r="DA23" s="642"/>
      <c r="DB23" s="642"/>
      <c r="DC23" s="642"/>
      <c r="DD23" s="642"/>
      <c r="DE23" s="642"/>
      <c r="DF23" s="642"/>
      <c r="DG23" s="642"/>
      <c r="DH23" s="642"/>
      <c r="DI23" s="642"/>
      <c r="DJ23" s="642"/>
      <c r="DK23" s="642"/>
      <c r="DL23" s="642"/>
      <c r="DM23" s="642"/>
      <c r="DN23" s="642"/>
      <c r="DO23" s="642"/>
      <c r="DP23" s="642"/>
      <c r="DQ23" s="642"/>
      <c r="DR23" s="642"/>
      <c r="DS23" s="642"/>
      <c r="DT23" s="642"/>
      <c r="DU23" s="642"/>
    </row>
    <row r="24" spans="1:125" s="599" customFormat="1">
      <c r="A24" s="957" t="s">
        <v>2271</v>
      </c>
      <c r="B24" s="946" t="s">
        <v>456</v>
      </c>
      <c r="C24" s="1328"/>
      <c r="D24" s="737" t="s">
        <v>18</v>
      </c>
      <c r="E24" s="782">
        <v>5</v>
      </c>
      <c r="F24" s="782">
        <v>15</v>
      </c>
      <c r="G24" s="782">
        <v>10</v>
      </c>
      <c r="H24" s="968">
        <v>1</v>
      </c>
      <c r="I24" s="968">
        <v>1</v>
      </c>
      <c r="J24" s="968">
        <v>1</v>
      </c>
      <c r="K24" s="968">
        <v>5</v>
      </c>
      <c r="L24" s="968">
        <v>5</v>
      </c>
      <c r="M24" s="968">
        <v>1</v>
      </c>
      <c r="N24" s="774">
        <f t="shared" si="4"/>
        <v>44</v>
      </c>
      <c r="O24" s="771"/>
      <c r="P24" s="711">
        <f t="shared" si="5"/>
        <v>0</v>
      </c>
      <c r="Q24" s="642"/>
      <c r="R24" s="642"/>
      <c r="S24" s="642"/>
      <c r="T24" s="642"/>
      <c r="U24" s="642"/>
      <c r="V24" s="642"/>
      <c r="W24" s="642"/>
      <c r="X24" s="642"/>
      <c r="Y24" s="642"/>
      <c r="Z24" s="642"/>
      <c r="AA24" s="642"/>
      <c r="AB24" s="642"/>
      <c r="AC24" s="642"/>
      <c r="AD24" s="642"/>
      <c r="AE24" s="642"/>
      <c r="AF24" s="642"/>
      <c r="AG24" s="642"/>
      <c r="AH24" s="642"/>
      <c r="AI24" s="642"/>
      <c r="AJ24" s="642"/>
      <c r="AK24" s="642"/>
      <c r="AL24" s="642"/>
      <c r="AM24" s="642"/>
      <c r="AN24" s="642"/>
      <c r="AO24" s="642"/>
      <c r="AP24" s="642"/>
      <c r="AQ24" s="642"/>
      <c r="AR24" s="642"/>
      <c r="AS24" s="642"/>
      <c r="AT24" s="642"/>
      <c r="AU24" s="642"/>
      <c r="AV24" s="642"/>
      <c r="AW24" s="642"/>
      <c r="AX24" s="642"/>
      <c r="AY24" s="642"/>
      <c r="AZ24" s="642"/>
      <c r="BA24" s="642"/>
      <c r="BB24" s="642"/>
      <c r="BC24" s="642"/>
      <c r="BD24" s="642"/>
      <c r="BE24" s="642"/>
      <c r="BF24" s="642"/>
      <c r="BG24" s="642"/>
      <c r="BH24" s="642"/>
      <c r="BI24" s="642"/>
      <c r="BJ24" s="642"/>
      <c r="BK24" s="642"/>
      <c r="BL24" s="642"/>
      <c r="BM24" s="642"/>
      <c r="BN24" s="642"/>
      <c r="BO24" s="642"/>
      <c r="BP24" s="642"/>
      <c r="BQ24" s="642"/>
      <c r="BR24" s="642"/>
      <c r="BS24" s="642"/>
      <c r="BT24" s="642"/>
      <c r="BU24" s="642"/>
      <c r="BV24" s="642"/>
      <c r="BW24" s="642"/>
      <c r="BX24" s="642"/>
      <c r="BY24" s="642"/>
      <c r="BZ24" s="642"/>
      <c r="CA24" s="642"/>
      <c r="CB24" s="642"/>
      <c r="CC24" s="642"/>
      <c r="CD24" s="642"/>
      <c r="CE24" s="642"/>
      <c r="CF24" s="642"/>
      <c r="CG24" s="642"/>
      <c r="CH24" s="642"/>
      <c r="CI24" s="642"/>
      <c r="CJ24" s="642"/>
      <c r="CK24" s="642"/>
      <c r="CL24" s="642"/>
      <c r="CM24" s="642"/>
      <c r="CN24" s="642"/>
      <c r="CO24" s="642"/>
      <c r="CP24" s="642"/>
      <c r="CQ24" s="642"/>
      <c r="CR24" s="642"/>
      <c r="CS24" s="642"/>
      <c r="CT24" s="642"/>
      <c r="CU24" s="642"/>
      <c r="CV24" s="642"/>
      <c r="CW24" s="642"/>
      <c r="CX24" s="642"/>
      <c r="CY24" s="642"/>
      <c r="CZ24" s="642"/>
      <c r="DA24" s="642"/>
      <c r="DB24" s="642"/>
      <c r="DC24" s="642"/>
      <c r="DD24" s="642"/>
      <c r="DE24" s="642"/>
      <c r="DF24" s="642"/>
      <c r="DG24" s="642"/>
      <c r="DH24" s="642"/>
      <c r="DI24" s="642"/>
      <c r="DJ24" s="642"/>
      <c r="DK24" s="642"/>
      <c r="DL24" s="642"/>
      <c r="DM24" s="642"/>
      <c r="DN24" s="642"/>
      <c r="DO24" s="642"/>
      <c r="DP24" s="642"/>
      <c r="DQ24" s="642"/>
      <c r="DR24" s="642"/>
      <c r="DS24" s="642"/>
      <c r="DT24" s="642"/>
      <c r="DU24" s="642"/>
    </row>
    <row r="25" spans="1:125" s="599" customFormat="1">
      <c r="A25" s="957" t="s">
        <v>2272</v>
      </c>
      <c r="B25" s="946" t="s">
        <v>457</v>
      </c>
      <c r="C25" s="1328"/>
      <c r="D25" s="737" t="s">
        <v>18</v>
      </c>
      <c r="E25" s="782">
        <v>1</v>
      </c>
      <c r="F25" s="782">
        <v>1</v>
      </c>
      <c r="G25" s="782">
        <v>1</v>
      </c>
      <c r="H25" s="968">
        <v>1</v>
      </c>
      <c r="I25" s="968">
        <v>1</v>
      </c>
      <c r="J25" s="968">
        <v>1</v>
      </c>
      <c r="K25" s="968">
        <v>1</v>
      </c>
      <c r="L25" s="968">
        <v>1</v>
      </c>
      <c r="M25" s="968">
        <v>1</v>
      </c>
      <c r="N25" s="1363">
        <f t="shared" si="4"/>
        <v>9</v>
      </c>
      <c r="O25" s="771"/>
      <c r="P25" s="711">
        <f t="shared" si="5"/>
        <v>0</v>
      </c>
      <c r="Q25" s="642"/>
      <c r="R25" s="642"/>
      <c r="S25" s="642"/>
      <c r="T25" s="642"/>
      <c r="U25" s="642"/>
      <c r="V25" s="642"/>
      <c r="W25" s="642"/>
      <c r="X25" s="642"/>
      <c r="Y25" s="642"/>
      <c r="Z25" s="642"/>
      <c r="AA25" s="642"/>
      <c r="AB25" s="642"/>
      <c r="AC25" s="642"/>
      <c r="AD25" s="642"/>
      <c r="AE25" s="642"/>
      <c r="AF25" s="642"/>
      <c r="AG25" s="642"/>
      <c r="AH25" s="642"/>
      <c r="AI25" s="642"/>
      <c r="AJ25" s="642"/>
      <c r="AK25" s="642"/>
      <c r="AL25" s="642"/>
      <c r="AM25" s="642"/>
      <c r="AN25" s="642"/>
      <c r="AO25" s="642"/>
      <c r="AP25" s="642"/>
      <c r="AQ25" s="642"/>
      <c r="AR25" s="642"/>
      <c r="AS25" s="642"/>
      <c r="AT25" s="642"/>
      <c r="AU25" s="642"/>
      <c r="AV25" s="642"/>
      <c r="AW25" s="642"/>
      <c r="AX25" s="642"/>
      <c r="AY25" s="642"/>
      <c r="AZ25" s="642"/>
      <c r="BA25" s="642"/>
      <c r="BB25" s="642"/>
      <c r="BC25" s="642"/>
      <c r="BD25" s="642"/>
      <c r="BE25" s="642"/>
      <c r="BF25" s="642"/>
      <c r="BG25" s="642"/>
      <c r="BH25" s="642"/>
      <c r="BI25" s="642"/>
      <c r="BJ25" s="642"/>
      <c r="BK25" s="642"/>
      <c r="BL25" s="642"/>
      <c r="BM25" s="642"/>
      <c r="BN25" s="642"/>
      <c r="BO25" s="642"/>
      <c r="BP25" s="642"/>
      <c r="BQ25" s="642"/>
      <c r="BR25" s="642"/>
      <c r="BS25" s="642"/>
      <c r="BT25" s="642"/>
      <c r="BU25" s="642"/>
      <c r="BV25" s="642"/>
      <c r="BW25" s="642"/>
      <c r="BX25" s="642"/>
      <c r="BY25" s="642"/>
      <c r="BZ25" s="642"/>
      <c r="CA25" s="642"/>
      <c r="CB25" s="642"/>
      <c r="CC25" s="642"/>
      <c r="CD25" s="642"/>
      <c r="CE25" s="642"/>
      <c r="CF25" s="642"/>
      <c r="CG25" s="642"/>
      <c r="CH25" s="642"/>
      <c r="CI25" s="642"/>
      <c r="CJ25" s="642"/>
      <c r="CK25" s="642"/>
      <c r="CL25" s="642"/>
      <c r="CM25" s="642"/>
      <c r="CN25" s="642"/>
      <c r="CO25" s="642"/>
      <c r="CP25" s="642"/>
      <c r="CQ25" s="642"/>
      <c r="CR25" s="642"/>
      <c r="CS25" s="642"/>
      <c r="CT25" s="642"/>
      <c r="CU25" s="642"/>
      <c r="CV25" s="642"/>
      <c r="CW25" s="642"/>
      <c r="CX25" s="642"/>
      <c r="CY25" s="642"/>
      <c r="CZ25" s="642"/>
      <c r="DA25" s="642"/>
      <c r="DB25" s="642"/>
      <c r="DC25" s="642"/>
      <c r="DD25" s="642"/>
      <c r="DE25" s="642"/>
      <c r="DF25" s="642"/>
      <c r="DG25" s="642"/>
      <c r="DH25" s="642"/>
      <c r="DI25" s="642"/>
      <c r="DJ25" s="642"/>
      <c r="DK25" s="642"/>
      <c r="DL25" s="642"/>
      <c r="DM25" s="642"/>
      <c r="DN25" s="642"/>
      <c r="DO25" s="642"/>
      <c r="DP25" s="642"/>
      <c r="DQ25" s="642"/>
      <c r="DR25" s="642"/>
      <c r="DS25" s="642"/>
      <c r="DT25" s="642"/>
      <c r="DU25" s="642"/>
    </row>
    <row r="26" spans="1:125" s="599" customFormat="1">
      <c r="A26" s="957" t="s">
        <v>2273</v>
      </c>
      <c r="B26" s="946" t="s">
        <v>458</v>
      </c>
      <c r="C26" s="1328"/>
      <c r="D26" s="737" t="s">
        <v>18</v>
      </c>
      <c r="E26" s="782">
        <v>170</v>
      </c>
      <c r="F26" s="782">
        <v>76</v>
      </c>
      <c r="G26" s="782">
        <v>45</v>
      </c>
      <c r="H26" s="968"/>
      <c r="I26" s="968"/>
      <c r="J26" s="968"/>
      <c r="K26" s="968">
        <v>4</v>
      </c>
      <c r="L26" s="968">
        <v>2</v>
      </c>
      <c r="M26" s="968"/>
      <c r="N26" s="774">
        <f t="shared" si="4"/>
        <v>297</v>
      </c>
      <c r="O26" s="771"/>
      <c r="P26" s="711">
        <f t="shared" si="5"/>
        <v>0</v>
      </c>
      <c r="Q26" s="642"/>
      <c r="R26" s="642"/>
      <c r="S26" s="642"/>
      <c r="T26" s="642"/>
      <c r="U26" s="642"/>
      <c r="V26" s="642"/>
      <c r="W26" s="642"/>
      <c r="X26" s="642"/>
      <c r="Y26" s="642"/>
      <c r="Z26" s="642"/>
      <c r="AA26" s="642"/>
      <c r="AB26" s="642"/>
      <c r="AC26" s="642"/>
      <c r="AD26" s="642"/>
      <c r="AE26" s="642"/>
      <c r="AF26" s="642"/>
      <c r="AG26" s="642"/>
      <c r="AH26" s="642"/>
      <c r="AI26" s="642"/>
      <c r="AJ26" s="642"/>
      <c r="AK26" s="642"/>
      <c r="AL26" s="642"/>
      <c r="AM26" s="642"/>
      <c r="AN26" s="642"/>
      <c r="AO26" s="642"/>
      <c r="AP26" s="642"/>
      <c r="AQ26" s="642"/>
      <c r="AR26" s="642"/>
      <c r="AS26" s="642"/>
      <c r="AT26" s="642"/>
      <c r="AU26" s="642"/>
      <c r="AV26" s="642"/>
      <c r="AW26" s="642"/>
      <c r="AX26" s="642"/>
      <c r="AY26" s="642"/>
      <c r="AZ26" s="642"/>
      <c r="BA26" s="642"/>
      <c r="BB26" s="642"/>
      <c r="BC26" s="642"/>
      <c r="BD26" s="642"/>
      <c r="BE26" s="642"/>
      <c r="BF26" s="642"/>
      <c r="BG26" s="642"/>
      <c r="BH26" s="642"/>
      <c r="BI26" s="642"/>
      <c r="BJ26" s="642"/>
      <c r="BK26" s="642"/>
      <c r="BL26" s="642"/>
      <c r="BM26" s="642"/>
      <c r="BN26" s="642"/>
      <c r="BO26" s="642"/>
      <c r="BP26" s="642"/>
      <c r="BQ26" s="642"/>
      <c r="BR26" s="642"/>
      <c r="BS26" s="642"/>
      <c r="BT26" s="642"/>
      <c r="BU26" s="642"/>
      <c r="BV26" s="642"/>
      <c r="BW26" s="642"/>
      <c r="BX26" s="642"/>
      <c r="BY26" s="642"/>
      <c r="BZ26" s="642"/>
      <c r="CA26" s="642"/>
      <c r="CB26" s="642"/>
      <c r="CC26" s="642"/>
      <c r="CD26" s="642"/>
      <c r="CE26" s="642"/>
      <c r="CF26" s="642"/>
      <c r="CG26" s="642"/>
      <c r="CH26" s="642"/>
      <c r="CI26" s="642"/>
      <c r="CJ26" s="642"/>
      <c r="CK26" s="642"/>
      <c r="CL26" s="642"/>
      <c r="CM26" s="642"/>
      <c r="CN26" s="642"/>
      <c r="CO26" s="642"/>
      <c r="CP26" s="642"/>
      <c r="CQ26" s="642"/>
      <c r="CR26" s="642"/>
      <c r="CS26" s="642"/>
      <c r="CT26" s="642"/>
      <c r="CU26" s="642"/>
      <c r="CV26" s="642"/>
      <c r="CW26" s="642"/>
      <c r="CX26" s="642"/>
      <c r="CY26" s="642"/>
      <c r="CZ26" s="642"/>
      <c r="DA26" s="642"/>
      <c r="DB26" s="642"/>
      <c r="DC26" s="642"/>
      <c r="DD26" s="642"/>
      <c r="DE26" s="642"/>
      <c r="DF26" s="642"/>
      <c r="DG26" s="642"/>
      <c r="DH26" s="642"/>
      <c r="DI26" s="642"/>
      <c r="DJ26" s="642"/>
      <c r="DK26" s="642"/>
      <c r="DL26" s="642"/>
      <c r="DM26" s="642"/>
      <c r="DN26" s="642"/>
      <c r="DO26" s="642"/>
      <c r="DP26" s="642"/>
      <c r="DQ26" s="642"/>
      <c r="DR26" s="642"/>
      <c r="DS26" s="642"/>
      <c r="DT26" s="642"/>
      <c r="DU26" s="642"/>
    </row>
    <row r="27" spans="1:125" s="599" customFormat="1">
      <c r="A27" s="957" t="s">
        <v>2274</v>
      </c>
      <c r="B27" s="946" t="s">
        <v>459</v>
      </c>
      <c r="C27" s="1328"/>
      <c r="D27" s="737" t="s">
        <v>18</v>
      </c>
      <c r="E27" s="782">
        <v>71</v>
      </c>
      <c r="F27" s="782">
        <v>14</v>
      </c>
      <c r="G27" s="782">
        <v>26</v>
      </c>
      <c r="H27" s="968"/>
      <c r="I27" s="968"/>
      <c r="J27" s="968"/>
      <c r="K27" s="968">
        <v>10</v>
      </c>
      <c r="L27" s="968">
        <v>5</v>
      </c>
      <c r="M27" s="968"/>
      <c r="N27" s="774">
        <f t="shared" si="4"/>
        <v>126</v>
      </c>
      <c r="O27" s="771"/>
      <c r="P27" s="711">
        <f t="shared" si="5"/>
        <v>0</v>
      </c>
      <c r="Q27" s="642"/>
      <c r="R27" s="642"/>
      <c r="S27" s="642"/>
      <c r="T27" s="642"/>
      <c r="U27" s="642"/>
      <c r="V27" s="642"/>
      <c r="W27" s="642"/>
      <c r="X27" s="642"/>
      <c r="Y27" s="642"/>
      <c r="Z27" s="642"/>
      <c r="AA27" s="642"/>
      <c r="AB27" s="642"/>
      <c r="AC27" s="642"/>
      <c r="AD27" s="642"/>
      <c r="AE27" s="642"/>
      <c r="AF27" s="642"/>
      <c r="AG27" s="642"/>
      <c r="AH27" s="642"/>
      <c r="AI27" s="642"/>
      <c r="AJ27" s="642"/>
      <c r="AK27" s="642"/>
      <c r="AL27" s="642"/>
      <c r="AM27" s="642"/>
      <c r="AN27" s="642"/>
      <c r="AO27" s="642"/>
      <c r="AP27" s="642"/>
      <c r="AQ27" s="642"/>
      <c r="AR27" s="642"/>
      <c r="AS27" s="642"/>
      <c r="AT27" s="642"/>
      <c r="AU27" s="642"/>
      <c r="AV27" s="642"/>
      <c r="AW27" s="642"/>
      <c r="AX27" s="642"/>
      <c r="AY27" s="642"/>
      <c r="AZ27" s="642"/>
      <c r="BA27" s="642"/>
      <c r="BB27" s="642"/>
      <c r="BC27" s="642"/>
      <c r="BD27" s="642"/>
      <c r="BE27" s="642"/>
      <c r="BF27" s="642"/>
      <c r="BG27" s="642"/>
      <c r="BH27" s="642"/>
      <c r="BI27" s="642"/>
      <c r="BJ27" s="642"/>
      <c r="BK27" s="642"/>
      <c r="BL27" s="642"/>
      <c r="BM27" s="642"/>
      <c r="BN27" s="642"/>
      <c r="BO27" s="642"/>
      <c r="BP27" s="642"/>
      <c r="BQ27" s="642"/>
      <c r="BR27" s="642"/>
      <c r="BS27" s="642"/>
      <c r="BT27" s="642"/>
      <c r="BU27" s="642"/>
      <c r="BV27" s="642"/>
      <c r="BW27" s="642"/>
      <c r="BX27" s="642"/>
      <c r="BY27" s="642"/>
      <c r="BZ27" s="642"/>
      <c r="CA27" s="642"/>
      <c r="CB27" s="642"/>
      <c r="CC27" s="642"/>
      <c r="CD27" s="642"/>
      <c r="CE27" s="642"/>
      <c r="CF27" s="642"/>
      <c r="CG27" s="642"/>
      <c r="CH27" s="642"/>
      <c r="CI27" s="642"/>
      <c r="CJ27" s="642"/>
      <c r="CK27" s="642"/>
      <c r="CL27" s="642"/>
      <c r="CM27" s="642"/>
      <c r="CN27" s="642"/>
      <c r="CO27" s="642"/>
      <c r="CP27" s="642"/>
      <c r="CQ27" s="642"/>
      <c r="CR27" s="642"/>
      <c r="CS27" s="642"/>
      <c r="CT27" s="642"/>
      <c r="CU27" s="642"/>
      <c r="CV27" s="642"/>
      <c r="CW27" s="642"/>
      <c r="CX27" s="642"/>
      <c r="CY27" s="642"/>
      <c r="CZ27" s="642"/>
      <c r="DA27" s="642"/>
      <c r="DB27" s="642"/>
      <c r="DC27" s="642"/>
      <c r="DD27" s="642"/>
      <c r="DE27" s="642"/>
      <c r="DF27" s="642"/>
      <c r="DG27" s="642"/>
      <c r="DH27" s="642"/>
      <c r="DI27" s="642"/>
      <c r="DJ27" s="642"/>
      <c r="DK27" s="642"/>
      <c r="DL27" s="642"/>
      <c r="DM27" s="642"/>
      <c r="DN27" s="642"/>
      <c r="DO27" s="642"/>
      <c r="DP27" s="642"/>
      <c r="DQ27" s="642"/>
      <c r="DR27" s="642"/>
      <c r="DS27" s="642"/>
      <c r="DT27" s="642"/>
      <c r="DU27" s="642"/>
    </row>
    <row r="28" spans="1:125" s="1341" customFormat="1">
      <c r="A28" s="955" t="s">
        <v>2275</v>
      </c>
      <c r="B28" s="1410" t="s">
        <v>2452</v>
      </c>
      <c r="C28" s="1330" t="s">
        <v>2453</v>
      </c>
      <c r="D28" s="1346" t="s">
        <v>18</v>
      </c>
      <c r="E28" s="1365">
        <f>SUM(E17:E27)</f>
        <v>767</v>
      </c>
      <c r="F28" s="1365">
        <f t="shared" ref="F28:M28" si="6">SUM(F17:F27)</f>
        <v>416</v>
      </c>
      <c r="G28" s="1365">
        <f t="shared" si="6"/>
        <v>417</v>
      </c>
      <c r="H28" s="1365">
        <f t="shared" si="6"/>
        <v>212</v>
      </c>
      <c r="I28" s="1365">
        <f t="shared" si="6"/>
        <v>117</v>
      </c>
      <c r="J28" s="1365">
        <f t="shared" si="6"/>
        <v>132</v>
      </c>
      <c r="K28" s="1365">
        <f t="shared" si="6"/>
        <v>301</v>
      </c>
      <c r="L28" s="1365">
        <f t="shared" si="6"/>
        <v>215</v>
      </c>
      <c r="M28" s="1365">
        <f t="shared" si="6"/>
        <v>392</v>
      </c>
      <c r="N28" s="1363">
        <f t="shared" ref="N28" si="7">SUM(E28:M28)</f>
        <v>2969</v>
      </c>
      <c r="O28" s="1362"/>
      <c r="P28" s="1347">
        <f t="shared" ref="P28" si="8">N28*O28</f>
        <v>0</v>
      </c>
      <c r="Q28" s="1343"/>
      <c r="R28" s="1343"/>
      <c r="S28" s="1343"/>
      <c r="T28" s="1343"/>
      <c r="U28" s="1343"/>
      <c r="V28" s="1343"/>
      <c r="W28" s="1343"/>
      <c r="X28" s="1343"/>
      <c r="Y28" s="1343"/>
      <c r="Z28" s="1343"/>
      <c r="AA28" s="1343"/>
      <c r="AB28" s="1343"/>
      <c r="AC28" s="1343"/>
      <c r="AD28" s="1343"/>
      <c r="AE28" s="1343"/>
      <c r="AF28" s="1343"/>
      <c r="AG28" s="1343"/>
      <c r="AH28" s="1343"/>
      <c r="AI28" s="1343"/>
      <c r="AJ28" s="1343"/>
      <c r="AK28" s="1343"/>
      <c r="AL28" s="1343"/>
      <c r="AM28" s="1343"/>
      <c r="AN28" s="1343"/>
      <c r="AO28" s="1343"/>
      <c r="AP28" s="1343"/>
      <c r="AQ28" s="1343"/>
      <c r="AR28" s="1343"/>
      <c r="AS28" s="1343"/>
      <c r="AT28" s="1343"/>
      <c r="AU28" s="1343"/>
      <c r="AV28" s="1343"/>
      <c r="AW28" s="1343"/>
      <c r="AX28" s="1343"/>
      <c r="AY28" s="1343"/>
      <c r="AZ28" s="1343"/>
      <c r="BA28" s="1343"/>
      <c r="BB28" s="1343"/>
      <c r="BC28" s="1343"/>
      <c r="BD28" s="1343"/>
      <c r="BE28" s="1343"/>
      <c r="BF28" s="1343"/>
      <c r="BG28" s="1343"/>
      <c r="BH28" s="1343"/>
      <c r="BI28" s="1343"/>
      <c r="BJ28" s="1343"/>
      <c r="BK28" s="1343"/>
      <c r="BL28" s="1343"/>
      <c r="BM28" s="1343"/>
      <c r="BN28" s="1343"/>
      <c r="BO28" s="1343"/>
      <c r="BP28" s="1343"/>
      <c r="BQ28" s="1343"/>
      <c r="BR28" s="1343"/>
      <c r="BS28" s="1343"/>
      <c r="BT28" s="1343"/>
      <c r="BU28" s="1343"/>
      <c r="BV28" s="1343"/>
      <c r="BW28" s="1343"/>
      <c r="BX28" s="1343"/>
      <c r="BY28" s="1343"/>
      <c r="BZ28" s="1343"/>
      <c r="CA28" s="1343"/>
      <c r="CB28" s="1343"/>
      <c r="CC28" s="1343"/>
      <c r="CD28" s="1343"/>
      <c r="CE28" s="1343"/>
      <c r="CF28" s="1343"/>
      <c r="CG28" s="1343"/>
      <c r="CH28" s="1343"/>
      <c r="CI28" s="1343"/>
      <c r="CJ28" s="1343"/>
      <c r="CK28" s="1343"/>
      <c r="CL28" s="1343"/>
      <c r="CM28" s="1343"/>
      <c r="CN28" s="1343"/>
      <c r="CO28" s="1343"/>
      <c r="CP28" s="1343"/>
      <c r="CQ28" s="1343"/>
      <c r="CR28" s="1343"/>
      <c r="CS28" s="1343"/>
      <c r="CT28" s="1343"/>
      <c r="CU28" s="1343"/>
      <c r="CV28" s="1343"/>
      <c r="CW28" s="1343"/>
      <c r="CX28" s="1343"/>
      <c r="CY28" s="1343"/>
      <c r="CZ28" s="1343"/>
      <c r="DA28" s="1343"/>
      <c r="DB28" s="1343"/>
      <c r="DC28" s="1343"/>
      <c r="DD28" s="1343"/>
      <c r="DE28" s="1343"/>
      <c r="DF28" s="1343"/>
      <c r="DG28" s="1343"/>
      <c r="DH28" s="1343"/>
      <c r="DI28" s="1343"/>
      <c r="DJ28" s="1343"/>
      <c r="DK28" s="1343"/>
      <c r="DL28" s="1343"/>
      <c r="DM28" s="1343"/>
      <c r="DN28" s="1343"/>
      <c r="DO28" s="1343"/>
      <c r="DP28" s="1343"/>
      <c r="DQ28" s="1343"/>
      <c r="DR28" s="1343"/>
      <c r="DS28" s="1343"/>
      <c r="DT28" s="1343"/>
      <c r="DU28" s="1343"/>
    </row>
    <row r="29" spans="1:125" s="599" customFormat="1">
      <c r="A29" s="1391" t="s">
        <v>2451</v>
      </c>
      <c r="B29" s="1052" t="s">
        <v>385</v>
      </c>
      <c r="C29" s="1330" t="s">
        <v>406</v>
      </c>
      <c r="D29" s="702"/>
      <c r="E29" s="782"/>
      <c r="F29" s="782"/>
      <c r="G29" s="782"/>
      <c r="H29" s="968"/>
      <c r="I29" s="968"/>
      <c r="J29" s="968"/>
      <c r="K29" s="968"/>
      <c r="L29" s="968"/>
      <c r="M29" s="968"/>
      <c r="N29" s="774"/>
      <c r="O29" s="775"/>
      <c r="P29" s="711"/>
      <c r="Q29" s="642"/>
      <c r="R29" s="642"/>
      <c r="S29" s="642"/>
      <c r="T29" s="642"/>
      <c r="U29" s="642"/>
      <c r="V29" s="642"/>
      <c r="W29" s="642"/>
      <c r="X29" s="642"/>
      <c r="Y29" s="642"/>
      <c r="Z29" s="642"/>
      <c r="AA29" s="642"/>
      <c r="AB29" s="642"/>
      <c r="AC29" s="642"/>
      <c r="AD29" s="642"/>
      <c r="AE29" s="642"/>
      <c r="AF29" s="642"/>
      <c r="AG29" s="642"/>
      <c r="AH29" s="642"/>
      <c r="AI29" s="642"/>
      <c r="AJ29" s="642"/>
      <c r="AK29" s="642"/>
      <c r="AL29" s="642"/>
      <c r="AM29" s="642"/>
      <c r="AN29" s="642"/>
      <c r="AO29" s="642"/>
      <c r="AP29" s="642"/>
      <c r="AQ29" s="642"/>
      <c r="AR29" s="642"/>
      <c r="AS29" s="642"/>
      <c r="AT29" s="642"/>
      <c r="AU29" s="642"/>
      <c r="AV29" s="642"/>
      <c r="AW29" s="642"/>
      <c r="AX29" s="642"/>
      <c r="AY29" s="642"/>
      <c r="AZ29" s="642"/>
      <c r="BA29" s="642"/>
      <c r="BB29" s="642"/>
      <c r="BC29" s="642"/>
      <c r="BD29" s="642"/>
      <c r="BE29" s="642"/>
      <c r="BF29" s="642"/>
      <c r="BG29" s="642"/>
      <c r="BH29" s="642"/>
      <c r="BI29" s="642"/>
      <c r="BJ29" s="642"/>
      <c r="BK29" s="642"/>
      <c r="BL29" s="642"/>
      <c r="BM29" s="642"/>
      <c r="BN29" s="642"/>
      <c r="BO29" s="642"/>
      <c r="BP29" s="642"/>
      <c r="BQ29" s="642"/>
      <c r="BR29" s="642"/>
      <c r="BS29" s="642"/>
      <c r="BT29" s="642"/>
      <c r="BU29" s="642"/>
      <c r="BV29" s="642"/>
      <c r="BW29" s="642"/>
      <c r="BX29" s="642"/>
      <c r="BY29" s="642"/>
      <c r="BZ29" s="642"/>
      <c r="CA29" s="642"/>
      <c r="CB29" s="642"/>
      <c r="CC29" s="642"/>
      <c r="CD29" s="642"/>
      <c r="CE29" s="642"/>
      <c r="CF29" s="642"/>
      <c r="CG29" s="642"/>
      <c r="CH29" s="642"/>
      <c r="CI29" s="642"/>
      <c r="CJ29" s="642"/>
      <c r="CK29" s="642"/>
      <c r="CL29" s="642"/>
      <c r="CM29" s="642"/>
      <c r="CN29" s="642"/>
      <c r="CO29" s="642"/>
      <c r="CP29" s="642"/>
      <c r="CQ29" s="642"/>
      <c r="CR29" s="642"/>
      <c r="CS29" s="642"/>
      <c r="CT29" s="642"/>
      <c r="CU29" s="642"/>
      <c r="CV29" s="642"/>
      <c r="CW29" s="642"/>
      <c r="CX29" s="642"/>
      <c r="CY29" s="642"/>
      <c r="CZ29" s="642"/>
      <c r="DA29" s="642"/>
      <c r="DB29" s="642"/>
      <c r="DC29" s="642"/>
      <c r="DD29" s="642"/>
      <c r="DE29" s="642"/>
      <c r="DF29" s="642"/>
      <c r="DG29" s="642"/>
      <c r="DH29" s="642"/>
      <c r="DI29" s="642"/>
      <c r="DJ29" s="642"/>
      <c r="DK29" s="642"/>
      <c r="DL29" s="642"/>
      <c r="DM29" s="642"/>
      <c r="DN29" s="642"/>
      <c r="DO29" s="642"/>
      <c r="DP29" s="642"/>
      <c r="DQ29" s="642"/>
      <c r="DR29" s="642"/>
      <c r="DS29" s="642"/>
      <c r="DT29" s="642"/>
      <c r="DU29" s="642"/>
    </row>
    <row r="30" spans="1:125" s="596" customFormat="1">
      <c r="A30" s="958" t="s">
        <v>2454</v>
      </c>
      <c r="B30" s="946" t="s">
        <v>460</v>
      </c>
      <c r="C30" s="1327" t="s">
        <v>436</v>
      </c>
      <c r="D30" s="737" t="s">
        <v>11</v>
      </c>
      <c r="E30" s="782">
        <v>10</v>
      </c>
      <c r="F30" s="782">
        <v>10</v>
      </c>
      <c r="G30" s="782">
        <v>10</v>
      </c>
      <c r="H30" s="796"/>
      <c r="I30" s="796"/>
      <c r="J30" s="796"/>
      <c r="K30" s="796">
        <v>96</v>
      </c>
      <c r="L30" s="796">
        <v>30</v>
      </c>
      <c r="M30" s="796"/>
      <c r="N30" s="774">
        <f>SUM(E30:M30)</f>
        <v>156</v>
      </c>
      <c r="O30" s="771"/>
      <c r="P30" s="711">
        <f t="shared" si="5"/>
        <v>0</v>
      </c>
      <c r="Q30" s="642"/>
      <c r="R30" s="642"/>
      <c r="S30" s="642"/>
      <c r="T30" s="642"/>
      <c r="U30" s="642"/>
      <c r="V30" s="642"/>
      <c r="W30" s="642"/>
      <c r="X30" s="642"/>
      <c r="Y30" s="642"/>
      <c r="Z30" s="642"/>
      <c r="AA30" s="642"/>
      <c r="AB30" s="642"/>
      <c r="AC30" s="642"/>
      <c r="AD30" s="642"/>
      <c r="AE30" s="642"/>
      <c r="AF30" s="642"/>
      <c r="AG30" s="642"/>
      <c r="AH30" s="642"/>
      <c r="AI30" s="642"/>
      <c r="AJ30" s="642"/>
      <c r="AK30" s="642"/>
      <c r="AL30" s="642"/>
      <c r="AM30" s="642"/>
      <c r="AN30" s="642"/>
      <c r="AO30" s="642"/>
      <c r="AP30" s="642"/>
      <c r="AQ30" s="642"/>
      <c r="AR30" s="642"/>
      <c r="AS30" s="642"/>
      <c r="AT30" s="642"/>
      <c r="AU30" s="642"/>
      <c r="AV30" s="642"/>
      <c r="AW30" s="642"/>
      <c r="AX30" s="642"/>
      <c r="AY30" s="642"/>
      <c r="AZ30" s="642"/>
      <c r="BA30" s="642"/>
      <c r="BB30" s="642"/>
      <c r="BC30" s="642"/>
      <c r="BD30" s="642"/>
      <c r="BE30" s="642"/>
      <c r="BF30" s="642"/>
      <c r="BG30" s="642"/>
      <c r="BH30" s="642"/>
      <c r="BI30" s="642"/>
      <c r="BJ30" s="642"/>
      <c r="BK30" s="642"/>
      <c r="BL30" s="642"/>
      <c r="BM30" s="642"/>
      <c r="BN30" s="642"/>
      <c r="BO30" s="642"/>
      <c r="BP30" s="642"/>
      <c r="BQ30" s="642"/>
      <c r="BR30" s="642"/>
      <c r="BS30" s="642"/>
      <c r="BT30" s="642"/>
      <c r="BU30" s="642"/>
      <c r="BV30" s="642"/>
      <c r="BW30" s="642"/>
      <c r="BX30" s="642"/>
      <c r="BY30" s="642"/>
      <c r="BZ30" s="642"/>
      <c r="CA30" s="642"/>
      <c r="CB30" s="642"/>
      <c r="CC30" s="642"/>
      <c r="CD30" s="642"/>
      <c r="CE30" s="642"/>
      <c r="CF30" s="642"/>
      <c r="CG30" s="642"/>
      <c r="CH30" s="642"/>
      <c r="CI30" s="642"/>
      <c r="CJ30" s="642"/>
      <c r="CK30" s="642"/>
      <c r="CL30" s="642"/>
      <c r="CM30" s="642"/>
      <c r="CN30" s="642"/>
      <c r="CO30" s="642"/>
      <c r="CP30" s="642"/>
      <c r="CQ30" s="642"/>
      <c r="CR30" s="642"/>
      <c r="CS30" s="642"/>
      <c r="CT30" s="642"/>
      <c r="CU30" s="642"/>
      <c r="CV30" s="642"/>
      <c r="CW30" s="642"/>
      <c r="CX30" s="642"/>
      <c r="CY30" s="642"/>
      <c r="CZ30" s="642"/>
      <c r="DA30" s="642"/>
      <c r="DB30" s="642"/>
      <c r="DC30" s="642"/>
      <c r="DD30" s="642"/>
      <c r="DE30" s="642"/>
      <c r="DF30" s="642"/>
      <c r="DG30" s="642"/>
      <c r="DH30" s="642"/>
      <c r="DI30" s="642"/>
      <c r="DJ30" s="642"/>
      <c r="DK30" s="642"/>
      <c r="DL30" s="642"/>
      <c r="DM30" s="642"/>
      <c r="DN30" s="642"/>
      <c r="DO30" s="642"/>
      <c r="DP30" s="642"/>
      <c r="DQ30" s="642"/>
      <c r="DR30" s="642"/>
      <c r="DS30" s="642"/>
      <c r="DT30" s="642"/>
      <c r="DU30" s="642"/>
    </row>
    <row r="31" spans="1:125" s="596" customFormat="1">
      <c r="A31" s="1394" t="s">
        <v>2455</v>
      </c>
      <c r="B31" s="946" t="s">
        <v>2471</v>
      </c>
      <c r="C31" s="1327" t="s">
        <v>437</v>
      </c>
      <c r="D31" s="737"/>
      <c r="E31" s="782"/>
      <c r="F31" s="782"/>
      <c r="G31" s="782"/>
      <c r="H31" s="796"/>
      <c r="I31" s="796"/>
      <c r="J31" s="796"/>
      <c r="K31" s="796"/>
      <c r="L31" s="796"/>
      <c r="M31" s="796"/>
      <c r="N31" s="774"/>
      <c r="O31" s="775"/>
      <c r="P31" s="711"/>
      <c r="Q31" s="642"/>
      <c r="R31" s="642"/>
      <c r="S31" s="642"/>
      <c r="T31" s="642"/>
      <c r="U31" s="642"/>
      <c r="V31" s="642"/>
      <c r="W31" s="642"/>
      <c r="X31" s="642"/>
      <c r="Y31" s="642"/>
      <c r="Z31" s="642"/>
      <c r="AA31" s="642"/>
      <c r="AB31" s="642"/>
      <c r="AC31" s="642"/>
      <c r="AD31" s="642"/>
      <c r="AE31" s="642"/>
      <c r="AF31" s="642"/>
      <c r="AG31" s="642"/>
      <c r="AH31" s="642"/>
      <c r="AI31" s="642"/>
      <c r="AJ31" s="642"/>
      <c r="AK31" s="642"/>
      <c r="AL31" s="642"/>
      <c r="AM31" s="642"/>
      <c r="AN31" s="642"/>
      <c r="AO31" s="642"/>
      <c r="AP31" s="642"/>
      <c r="AQ31" s="642"/>
      <c r="AR31" s="642"/>
      <c r="AS31" s="642"/>
      <c r="AT31" s="642"/>
      <c r="AU31" s="642"/>
      <c r="AV31" s="642"/>
      <c r="AW31" s="642"/>
      <c r="AX31" s="642"/>
      <c r="AY31" s="642"/>
      <c r="AZ31" s="642"/>
      <c r="BA31" s="642"/>
      <c r="BB31" s="642"/>
      <c r="BC31" s="642"/>
      <c r="BD31" s="642"/>
      <c r="BE31" s="642"/>
      <c r="BF31" s="642"/>
      <c r="BG31" s="642"/>
      <c r="BH31" s="642"/>
      <c r="BI31" s="642"/>
      <c r="BJ31" s="642"/>
      <c r="BK31" s="642"/>
      <c r="BL31" s="642"/>
      <c r="BM31" s="642"/>
      <c r="BN31" s="642"/>
      <c r="BO31" s="642"/>
      <c r="BP31" s="642"/>
      <c r="BQ31" s="642"/>
      <c r="BR31" s="642"/>
      <c r="BS31" s="642"/>
      <c r="BT31" s="642"/>
      <c r="BU31" s="642"/>
      <c r="BV31" s="642"/>
      <c r="BW31" s="642"/>
      <c r="BX31" s="642"/>
      <c r="BY31" s="642"/>
      <c r="BZ31" s="642"/>
      <c r="CA31" s="642"/>
      <c r="CB31" s="642"/>
      <c r="CC31" s="642"/>
      <c r="CD31" s="642"/>
      <c r="CE31" s="642"/>
      <c r="CF31" s="642"/>
      <c r="CG31" s="642"/>
      <c r="CH31" s="642"/>
      <c r="CI31" s="642"/>
      <c r="CJ31" s="642"/>
      <c r="CK31" s="642"/>
      <c r="CL31" s="642"/>
      <c r="CM31" s="642"/>
      <c r="CN31" s="642"/>
      <c r="CO31" s="642"/>
      <c r="CP31" s="642"/>
      <c r="CQ31" s="642"/>
      <c r="CR31" s="642"/>
      <c r="CS31" s="642"/>
      <c r="CT31" s="642"/>
      <c r="CU31" s="642"/>
      <c r="CV31" s="642"/>
      <c r="CW31" s="642"/>
      <c r="CX31" s="642"/>
      <c r="CY31" s="642"/>
      <c r="CZ31" s="642"/>
      <c r="DA31" s="642"/>
      <c r="DB31" s="642"/>
      <c r="DC31" s="642"/>
      <c r="DD31" s="642"/>
      <c r="DE31" s="642"/>
      <c r="DF31" s="642"/>
      <c r="DG31" s="642"/>
      <c r="DH31" s="642"/>
      <c r="DI31" s="642"/>
      <c r="DJ31" s="642"/>
      <c r="DK31" s="642"/>
      <c r="DL31" s="642"/>
      <c r="DM31" s="642"/>
      <c r="DN31" s="642"/>
      <c r="DO31" s="642"/>
      <c r="DP31" s="642"/>
      <c r="DQ31" s="642"/>
      <c r="DR31" s="642"/>
      <c r="DS31" s="642"/>
      <c r="DT31" s="642"/>
      <c r="DU31" s="642"/>
    </row>
    <row r="32" spans="1:125">
      <c r="A32" s="714" t="s">
        <v>2461</v>
      </c>
      <c r="B32" s="1069" t="s">
        <v>2442</v>
      </c>
      <c r="C32" s="1327"/>
      <c r="D32" s="737" t="s">
        <v>18</v>
      </c>
      <c r="E32" s="782">
        <v>1</v>
      </c>
      <c r="F32" s="782">
        <v>8</v>
      </c>
      <c r="G32" s="782">
        <v>1</v>
      </c>
      <c r="H32" s="968">
        <v>6</v>
      </c>
      <c r="I32" s="968">
        <v>8</v>
      </c>
      <c r="J32" s="968">
        <v>9</v>
      </c>
      <c r="K32" s="968"/>
      <c r="L32" s="968">
        <v>5</v>
      </c>
      <c r="M32" s="968">
        <v>35</v>
      </c>
      <c r="N32" s="774">
        <f t="shared" ref="N32:N43" si="9">SUM(E32:M32)</f>
        <v>73</v>
      </c>
      <c r="O32" s="771"/>
      <c r="P32" s="711">
        <f t="shared" si="5"/>
        <v>0</v>
      </c>
    </row>
    <row r="33" spans="1:125">
      <c r="A33" s="1348" t="s">
        <v>2462</v>
      </c>
      <c r="B33" s="1069" t="s">
        <v>2443</v>
      </c>
      <c r="C33" s="1327"/>
      <c r="D33" s="737" t="s">
        <v>18</v>
      </c>
      <c r="E33" s="782"/>
      <c r="F33" s="782"/>
      <c r="G33" s="782"/>
      <c r="H33" s="968"/>
      <c r="I33" s="968"/>
      <c r="J33" s="968"/>
      <c r="K33" s="968">
        <v>2</v>
      </c>
      <c r="L33" s="968"/>
      <c r="M33" s="968"/>
      <c r="N33" s="774">
        <f t="shared" si="9"/>
        <v>2</v>
      </c>
      <c r="O33" s="771"/>
      <c r="P33" s="711">
        <f t="shared" si="5"/>
        <v>0</v>
      </c>
    </row>
    <row r="34" spans="1:125">
      <c r="A34" s="1348" t="s">
        <v>2463</v>
      </c>
      <c r="B34" s="1069" t="s">
        <v>2456</v>
      </c>
      <c r="C34" s="1327"/>
      <c r="D34" s="737" t="s">
        <v>18</v>
      </c>
      <c r="E34" s="782"/>
      <c r="F34" s="782"/>
      <c r="G34" s="782"/>
      <c r="H34" s="968">
        <v>3</v>
      </c>
      <c r="I34" s="968"/>
      <c r="J34" s="968"/>
      <c r="K34" s="968"/>
      <c r="L34" s="968"/>
      <c r="M34" s="968">
        <v>8</v>
      </c>
      <c r="N34" s="774">
        <f t="shared" si="9"/>
        <v>11</v>
      </c>
      <c r="O34" s="771"/>
      <c r="P34" s="711">
        <f t="shared" si="5"/>
        <v>0</v>
      </c>
    </row>
    <row r="35" spans="1:125" s="1339" customFormat="1">
      <c r="A35" s="1394" t="s">
        <v>2460</v>
      </c>
      <c r="B35" s="1388" t="s">
        <v>2470</v>
      </c>
      <c r="C35" s="1327" t="s">
        <v>437</v>
      </c>
      <c r="D35" s="1353"/>
      <c r="E35" s="1365"/>
      <c r="F35" s="1365"/>
      <c r="G35" s="1365"/>
      <c r="H35" s="1369"/>
      <c r="I35" s="1369"/>
      <c r="J35" s="1369"/>
      <c r="K35" s="1369"/>
      <c r="L35" s="1369"/>
      <c r="M35" s="1369"/>
      <c r="N35" s="1363"/>
      <c r="O35" s="1364"/>
      <c r="P35" s="1347"/>
      <c r="Q35" s="1343"/>
      <c r="R35" s="1343"/>
      <c r="S35" s="1343"/>
      <c r="T35" s="1343"/>
      <c r="U35" s="1343"/>
      <c r="V35" s="1343"/>
      <c r="W35" s="1343"/>
      <c r="X35" s="1343"/>
      <c r="Y35" s="1343"/>
      <c r="Z35" s="1343"/>
      <c r="AA35" s="1343"/>
      <c r="AB35" s="1343"/>
      <c r="AC35" s="1343"/>
      <c r="AD35" s="1343"/>
      <c r="AE35" s="1343"/>
      <c r="AF35" s="1343"/>
      <c r="AG35" s="1343"/>
      <c r="AH35" s="1343"/>
      <c r="AI35" s="1343"/>
      <c r="AJ35" s="1343"/>
      <c r="AK35" s="1343"/>
      <c r="AL35" s="1343"/>
      <c r="AM35" s="1343"/>
      <c r="AN35" s="1343"/>
      <c r="AO35" s="1343"/>
      <c r="AP35" s="1343"/>
      <c r="AQ35" s="1343"/>
      <c r="AR35" s="1343"/>
      <c r="AS35" s="1343"/>
      <c r="AT35" s="1343"/>
      <c r="AU35" s="1343"/>
      <c r="AV35" s="1343"/>
      <c r="AW35" s="1343"/>
      <c r="AX35" s="1343"/>
      <c r="AY35" s="1343"/>
      <c r="AZ35" s="1343"/>
      <c r="BA35" s="1343"/>
      <c r="BB35" s="1343"/>
      <c r="BC35" s="1343"/>
      <c r="BD35" s="1343"/>
      <c r="BE35" s="1343"/>
      <c r="BF35" s="1343"/>
      <c r="BG35" s="1343"/>
      <c r="BH35" s="1343"/>
      <c r="BI35" s="1343"/>
      <c r="BJ35" s="1343"/>
      <c r="BK35" s="1343"/>
      <c r="BL35" s="1343"/>
      <c r="BM35" s="1343"/>
      <c r="BN35" s="1343"/>
      <c r="BO35" s="1343"/>
      <c r="BP35" s="1343"/>
      <c r="BQ35" s="1343"/>
      <c r="BR35" s="1343"/>
      <c r="BS35" s="1343"/>
      <c r="BT35" s="1343"/>
      <c r="BU35" s="1343"/>
      <c r="BV35" s="1343"/>
      <c r="BW35" s="1343"/>
      <c r="BX35" s="1343"/>
      <c r="BY35" s="1343"/>
      <c r="BZ35" s="1343"/>
      <c r="CA35" s="1343"/>
      <c r="CB35" s="1343"/>
      <c r="CC35" s="1343"/>
      <c r="CD35" s="1343"/>
      <c r="CE35" s="1343"/>
      <c r="CF35" s="1343"/>
      <c r="CG35" s="1343"/>
      <c r="CH35" s="1343"/>
      <c r="CI35" s="1343"/>
      <c r="CJ35" s="1343"/>
      <c r="CK35" s="1343"/>
      <c r="CL35" s="1343"/>
      <c r="CM35" s="1343"/>
      <c r="CN35" s="1343"/>
      <c r="CO35" s="1343"/>
      <c r="CP35" s="1343"/>
      <c r="CQ35" s="1343"/>
      <c r="CR35" s="1343"/>
      <c r="CS35" s="1343"/>
      <c r="CT35" s="1343"/>
      <c r="CU35" s="1343"/>
      <c r="CV35" s="1343"/>
      <c r="CW35" s="1343"/>
      <c r="CX35" s="1343"/>
      <c r="CY35" s="1343"/>
      <c r="CZ35" s="1343"/>
      <c r="DA35" s="1343"/>
      <c r="DB35" s="1343"/>
      <c r="DC35" s="1343"/>
      <c r="DD35" s="1343"/>
      <c r="DE35" s="1343"/>
      <c r="DF35" s="1343"/>
      <c r="DG35" s="1343"/>
      <c r="DH35" s="1343"/>
      <c r="DI35" s="1343"/>
      <c r="DJ35" s="1343"/>
      <c r="DK35" s="1343"/>
      <c r="DL35" s="1343"/>
      <c r="DM35" s="1343"/>
      <c r="DN35" s="1343"/>
      <c r="DO35" s="1343"/>
      <c r="DP35" s="1343"/>
      <c r="DQ35" s="1343"/>
      <c r="DR35" s="1343"/>
      <c r="DS35" s="1343"/>
      <c r="DT35" s="1343"/>
      <c r="DU35" s="1343"/>
    </row>
    <row r="36" spans="1:125">
      <c r="A36" s="714" t="s">
        <v>2464</v>
      </c>
      <c r="B36" s="1069" t="s">
        <v>2457</v>
      </c>
      <c r="C36" s="1327"/>
      <c r="D36" s="737" t="s">
        <v>18</v>
      </c>
      <c r="E36" s="782">
        <v>1</v>
      </c>
      <c r="F36" s="782">
        <v>1</v>
      </c>
      <c r="G36" s="782">
        <v>1</v>
      </c>
      <c r="H36" s="968">
        <v>6</v>
      </c>
      <c r="I36" s="968"/>
      <c r="J36" s="968">
        <v>16</v>
      </c>
      <c r="K36" s="968"/>
      <c r="L36" s="968">
        <v>3</v>
      </c>
      <c r="M36" s="968">
        <f>37+1</f>
        <v>38</v>
      </c>
      <c r="N36" s="774">
        <f t="shared" si="9"/>
        <v>66</v>
      </c>
      <c r="O36" s="771"/>
      <c r="P36" s="711">
        <f t="shared" si="5"/>
        <v>0</v>
      </c>
    </row>
    <row r="37" spans="1:125">
      <c r="A37" s="1348" t="s">
        <v>2465</v>
      </c>
      <c r="B37" s="1069" t="s">
        <v>2458</v>
      </c>
      <c r="C37" s="1327"/>
      <c r="D37" s="737" t="s">
        <v>18</v>
      </c>
      <c r="E37" s="782"/>
      <c r="F37" s="782"/>
      <c r="G37" s="782"/>
      <c r="H37" s="968"/>
      <c r="I37" s="968"/>
      <c r="J37" s="968"/>
      <c r="K37" s="968">
        <v>41</v>
      </c>
      <c r="L37" s="968"/>
      <c r="M37" s="968"/>
      <c r="N37" s="774">
        <f t="shared" si="9"/>
        <v>41</v>
      </c>
      <c r="O37" s="771"/>
      <c r="P37" s="711">
        <f t="shared" si="5"/>
        <v>0</v>
      </c>
    </row>
    <row r="38" spans="1:125">
      <c r="A38" s="1348" t="s">
        <v>2466</v>
      </c>
      <c r="B38" s="1069" t="s">
        <v>2459</v>
      </c>
      <c r="C38" s="1327"/>
      <c r="D38" s="737" t="s">
        <v>18</v>
      </c>
      <c r="E38" s="782"/>
      <c r="F38" s="782"/>
      <c r="G38" s="782"/>
      <c r="H38" s="968">
        <v>4</v>
      </c>
      <c r="I38" s="968"/>
      <c r="J38" s="968">
        <v>4</v>
      </c>
      <c r="K38" s="968"/>
      <c r="L38" s="968"/>
      <c r="M38" s="968">
        <f>17+4</f>
        <v>21</v>
      </c>
      <c r="N38" s="774">
        <f t="shared" si="9"/>
        <v>29</v>
      </c>
      <c r="O38" s="771"/>
      <c r="P38" s="711">
        <f t="shared" si="5"/>
        <v>0</v>
      </c>
    </row>
    <row r="39" spans="1:125" s="1339" customFormat="1">
      <c r="A39" s="1394" t="s">
        <v>1325</v>
      </c>
      <c r="B39" s="1388" t="s">
        <v>2469</v>
      </c>
      <c r="C39" s="1327" t="s">
        <v>437</v>
      </c>
      <c r="D39" s="1353"/>
      <c r="E39" s="1365"/>
      <c r="F39" s="1365"/>
      <c r="G39" s="1365"/>
      <c r="H39" s="1369"/>
      <c r="I39" s="1369"/>
      <c r="J39" s="1369"/>
      <c r="K39" s="1369"/>
      <c r="L39" s="1369"/>
      <c r="M39" s="1369"/>
      <c r="N39" s="1363"/>
      <c r="O39" s="1364"/>
      <c r="P39" s="1347"/>
      <c r="Q39" s="1343"/>
      <c r="R39" s="1343"/>
      <c r="S39" s="1343"/>
      <c r="T39" s="1343"/>
      <c r="U39" s="1343"/>
      <c r="V39" s="1343"/>
      <c r="W39" s="1343"/>
      <c r="X39" s="1343"/>
      <c r="Y39" s="1343"/>
      <c r="Z39" s="1343"/>
      <c r="AA39" s="1343"/>
      <c r="AB39" s="1343"/>
      <c r="AC39" s="1343"/>
      <c r="AD39" s="1343"/>
      <c r="AE39" s="1343"/>
      <c r="AF39" s="1343"/>
      <c r="AG39" s="1343"/>
      <c r="AH39" s="1343"/>
      <c r="AI39" s="1343"/>
      <c r="AJ39" s="1343"/>
      <c r="AK39" s="1343"/>
      <c r="AL39" s="1343"/>
      <c r="AM39" s="1343"/>
      <c r="AN39" s="1343"/>
      <c r="AO39" s="1343"/>
      <c r="AP39" s="1343"/>
      <c r="AQ39" s="1343"/>
      <c r="AR39" s="1343"/>
      <c r="AS39" s="1343"/>
      <c r="AT39" s="1343"/>
      <c r="AU39" s="1343"/>
      <c r="AV39" s="1343"/>
      <c r="AW39" s="1343"/>
      <c r="AX39" s="1343"/>
      <c r="AY39" s="1343"/>
      <c r="AZ39" s="1343"/>
      <c r="BA39" s="1343"/>
      <c r="BB39" s="1343"/>
      <c r="BC39" s="1343"/>
      <c r="BD39" s="1343"/>
      <c r="BE39" s="1343"/>
      <c r="BF39" s="1343"/>
      <c r="BG39" s="1343"/>
      <c r="BH39" s="1343"/>
      <c r="BI39" s="1343"/>
      <c r="BJ39" s="1343"/>
      <c r="BK39" s="1343"/>
      <c r="BL39" s="1343"/>
      <c r="BM39" s="1343"/>
      <c r="BN39" s="1343"/>
      <c r="BO39" s="1343"/>
      <c r="BP39" s="1343"/>
      <c r="BQ39" s="1343"/>
      <c r="BR39" s="1343"/>
      <c r="BS39" s="1343"/>
      <c r="BT39" s="1343"/>
      <c r="BU39" s="1343"/>
      <c r="BV39" s="1343"/>
      <c r="BW39" s="1343"/>
      <c r="BX39" s="1343"/>
      <c r="BY39" s="1343"/>
      <c r="BZ39" s="1343"/>
      <c r="CA39" s="1343"/>
      <c r="CB39" s="1343"/>
      <c r="CC39" s="1343"/>
      <c r="CD39" s="1343"/>
      <c r="CE39" s="1343"/>
      <c r="CF39" s="1343"/>
      <c r="CG39" s="1343"/>
      <c r="CH39" s="1343"/>
      <c r="CI39" s="1343"/>
      <c r="CJ39" s="1343"/>
      <c r="CK39" s="1343"/>
      <c r="CL39" s="1343"/>
      <c r="CM39" s="1343"/>
      <c r="CN39" s="1343"/>
      <c r="CO39" s="1343"/>
      <c r="CP39" s="1343"/>
      <c r="CQ39" s="1343"/>
      <c r="CR39" s="1343"/>
      <c r="CS39" s="1343"/>
      <c r="CT39" s="1343"/>
      <c r="CU39" s="1343"/>
      <c r="CV39" s="1343"/>
      <c r="CW39" s="1343"/>
      <c r="CX39" s="1343"/>
      <c r="CY39" s="1343"/>
      <c r="CZ39" s="1343"/>
      <c r="DA39" s="1343"/>
      <c r="DB39" s="1343"/>
      <c r="DC39" s="1343"/>
      <c r="DD39" s="1343"/>
      <c r="DE39" s="1343"/>
      <c r="DF39" s="1343"/>
      <c r="DG39" s="1343"/>
      <c r="DH39" s="1343"/>
      <c r="DI39" s="1343"/>
      <c r="DJ39" s="1343"/>
      <c r="DK39" s="1343"/>
      <c r="DL39" s="1343"/>
      <c r="DM39" s="1343"/>
      <c r="DN39" s="1343"/>
      <c r="DO39" s="1343"/>
      <c r="DP39" s="1343"/>
      <c r="DQ39" s="1343"/>
      <c r="DR39" s="1343"/>
      <c r="DS39" s="1343"/>
      <c r="DT39" s="1343"/>
      <c r="DU39" s="1343"/>
    </row>
    <row r="40" spans="1:125">
      <c r="A40" s="714" t="s">
        <v>2475</v>
      </c>
      <c r="B40" s="1069" t="s">
        <v>2457</v>
      </c>
      <c r="C40" s="1327"/>
      <c r="D40" s="737" t="s">
        <v>18</v>
      </c>
      <c r="E40" s="782">
        <v>1</v>
      </c>
      <c r="F40" s="782">
        <v>7</v>
      </c>
      <c r="G40" s="782">
        <v>1</v>
      </c>
      <c r="H40" s="968">
        <v>2</v>
      </c>
      <c r="I40" s="968"/>
      <c r="J40" s="968">
        <v>5</v>
      </c>
      <c r="K40" s="968"/>
      <c r="L40" s="968">
        <v>2</v>
      </c>
      <c r="M40" s="968">
        <v>10</v>
      </c>
      <c r="N40" s="774">
        <f t="shared" si="9"/>
        <v>28</v>
      </c>
      <c r="O40" s="771"/>
      <c r="P40" s="711">
        <f t="shared" si="5"/>
        <v>0</v>
      </c>
    </row>
    <row r="41" spans="1:125">
      <c r="A41" s="1348" t="s">
        <v>2476</v>
      </c>
      <c r="B41" s="1069" t="s">
        <v>2467</v>
      </c>
      <c r="C41" s="1327"/>
      <c r="D41" s="737" t="s">
        <v>18</v>
      </c>
      <c r="E41" s="782"/>
      <c r="F41" s="782"/>
      <c r="G41" s="782"/>
      <c r="H41" s="968"/>
      <c r="I41" s="968"/>
      <c r="J41" s="968"/>
      <c r="K41" s="968">
        <v>12</v>
      </c>
      <c r="L41" s="968"/>
      <c r="M41" s="968"/>
      <c r="N41" s="774">
        <f t="shared" si="9"/>
        <v>12</v>
      </c>
      <c r="O41" s="771"/>
      <c r="P41" s="711">
        <f t="shared" si="5"/>
        <v>0</v>
      </c>
    </row>
    <row r="42" spans="1:125">
      <c r="A42" s="1348" t="s">
        <v>2477</v>
      </c>
      <c r="B42" s="1069" t="s">
        <v>2459</v>
      </c>
      <c r="C42" s="1327"/>
      <c r="D42" s="737" t="s">
        <v>18</v>
      </c>
      <c r="E42" s="782"/>
      <c r="F42" s="782"/>
      <c r="G42" s="782"/>
      <c r="H42" s="968">
        <v>2</v>
      </c>
      <c r="I42" s="968"/>
      <c r="J42" s="968">
        <v>0</v>
      </c>
      <c r="K42" s="968"/>
      <c r="L42" s="968"/>
      <c r="M42" s="968">
        <v>6</v>
      </c>
      <c r="N42" s="774">
        <f t="shared" si="9"/>
        <v>8</v>
      </c>
      <c r="O42" s="771"/>
      <c r="P42" s="711">
        <f t="shared" si="5"/>
        <v>0</v>
      </c>
    </row>
    <row r="43" spans="1:125" s="596" customFormat="1">
      <c r="A43" s="1348" t="s">
        <v>2478</v>
      </c>
      <c r="B43" s="1068" t="s">
        <v>2457</v>
      </c>
      <c r="C43" s="1327"/>
      <c r="D43" s="737" t="s">
        <v>18</v>
      </c>
      <c r="E43" s="782">
        <v>1</v>
      </c>
      <c r="F43" s="782">
        <v>1</v>
      </c>
      <c r="G43" s="782">
        <v>1</v>
      </c>
      <c r="H43" s="796"/>
      <c r="I43" s="796"/>
      <c r="J43" s="796"/>
      <c r="K43" s="796">
        <v>3</v>
      </c>
      <c r="L43" s="796">
        <v>6</v>
      </c>
      <c r="M43" s="796"/>
      <c r="N43" s="774">
        <f t="shared" si="9"/>
        <v>12</v>
      </c>
      <c r="O43" s="771"/>
      <c r="P43" s="711">
        <f t="shared" si="5"/>
        <v>0</v>
      </c>
      <c r="Q43" s="642"/>
      <c r="R43" s="642"/>
      <c r="S43" s="642"/>
      <c r="T43" s="642"/>
      <c r="U43" s="642"/>
      <c r="V43" s="642"/>
      <c r="W43" s="642"/>
      <c r="X43" s="642"/>
      <c r="Y43" s="642"/>
      <c r="Z43" s="642"/>
      <c r="AA43" s="642"/>
      <c r="AB43" s="642"/>
      <c r="AC43" s="642"/>
      <c r="AD43" s="642"/>
      <c r="AE43" s="642"/>
      <c r="AF43" s="642"/>
      <c r="AG43" s="642"/>
      <c r="AH43" s="642"/>
      <c r="AI43" s="642"/>
      <c r="AJ43" s="642"/>
      <c r="AK43" s="642"/>
      <c r="AL43" s="642"/>
      <c r="AM43" s="642"/>
      <c r="AN43" s="642"/>
      <c r="AO43" s="642"/>
      <c r="AP43" s="642"/>
      <c r="AQ43" s="642"/>
      <c r="AR43" s="642"/>
      <c r="AS43" s="642"/>
      <c r="AT43" s="642"/>
      <c r="AU43" s="642"/>
      <c r="AV43" s="642"/>
      <c r="AW43" s="642"/>
      <c r="AX43" s="642"/>
      <c r="AY43" s="642"/>
      <c r="AZ43" s="642"/>
      <c r="BA43" s="642"/>
      <c r="BB43" s="642"/>
      <c r="BC43" s="642"/>
      <c r="BD43" s="642"/>
      <c r="BE43" s="642"/>
      <c r="BF43" s="642"/>
      <c r="BG43" s="642"/>
      <c r="BH43" s="642"/>
      <c r="BI43" s="642"/>
      <c r="BJ43" s="642"/>
      <c r="BK43" s="642"/>
      <c r="BL43" s="642"/>
      <c r="BM43" s="642"/>
      <c r="BN43" s="642"/>
      <c r="BO43" s="642"/>
      <c r="BP43" s="642"/>
      <c r="BQ43" s="642"/>
      <c r="BR43" s="642"/>
      <c r="BS43" s="642"/>
      <c r="BT43" s="642"/>
      <c r="BU43" s="642"/>
      <c r="BV43" s="642"/>
      <c r="BW43" s="642"/>
      <c r="BX43" s="642"/>
      <c r="BY43" s="642"/>
      <c r="BZ43" s="642"/>
      <c r="CA43" s="642"/>
      <c r="CB43" s="642"/>
      <c r="CC43" s="642"/>
      <c r="CD43" s="642"/>
      <c r="CE43" s="642"/>
      <c r="CF43" s="642"/>
      <c r="CG43" s="642"/>
      <c r="CH43" s="642"/>
      <c r="CI43" s="642"/>
      <c r="CJ43" s="642"/>
      <c r="CK43" s="642"/>
      <c r="CL43" s="642"/>
      <c r="CM43" s="642"/>
      <c r="CN43" s="642"/>
      <c r="CO43" s="642"/>
      <c r="CP43" s="642"/>
      <c r="CQ43" s="642"/>
      <c r="CR43" s="642"/>
      <c r="CS43" s="642"/>
      <c r="CT43" s="642"/>
      <c r="CU43" s="642"/>
      <c r="CV43" s="642"/>
      <c r="CW43" s="642"/>
      <c r="CX43" s="642"/>
      <c r="CY43" s="642"/>
      <c r="CZ43" s="642"/>
      <c r="DA43" s="642"/>
      <c r="DB43" s="642"/>
      <c r="DC43" s="642"/>
      <c r="DD43" s="642"/>
      <c r="DE43" s="642"/>
      <c r="DF43" s="642"/>
      <c r="DG43" s="642"/>
      <c r="DH43" s="642"/>
      <c r="DI43" s="642"/>
      <c r="DJ43" s="642"/>
      <c r="DK43" s="642"/>
      <c r="DL43" s="642"/>
      <c r="DM43" s="642"/>
      <c r="DN43" s="642"/>
      <c r="DO43" s="642"/>
      <c r="DP43" s="642"/>
      <c r="DQ43" s="642"/>
      <c r="DR43" s="642"/>
      <c r="DS43" s="642"/>
      <c r="DT43" s="642"/>
      <c r="DU43" s="642"/>
    </row>
    <row r="44" spans="1:125" s="596" customFormat="1">
      <c r="A44" s="958" t="s">
        <v>1326</v>
      </c>
      <c r="B44" s="946" t="s">
        <v>2468</v>
      </c>
      <c r="C44" s="1327" t="s">
        <v>437</v>
      </c>
      <c r="D44" s="737"/>
      <c r="E44" s="782"/>
      <c r="F44" s="782"/>
      <c r="G44" s="782"/>
      <c r="H44" s="796"/>
      <c r="I44" s="796"/>
      <c r="J44" s="796"/>
      <c r="K44" s="796"/>
      <c r="L44" s="796"/>
      <c r="M44" s="796"/>
      <c r="N44" s="774"/>
      <c r="O44" s="775"/>
      <c r="P44" s="711"/>
      <c r="Q44" s="642"/>
      <c r="R44" s="642"/>
      <c r="S44" s="642"/>
      <c r="T44" s="642"/>
      <c r="U44" s="642"/>
      <c r="V44" s="642"/>
      <c r="W44" s="642"/>
      <c r="X44" s="642"/>
      <c r="Y44" s="642"/>
      <c r="Z44" s="642"/>
      <c r="AA44" s="642"/>
      <c r="AB44" s="642"/>
      <c r="AC44" s="642"/>
      <c r="AD44" s="642"/>
      <c r="AE44" s="642"/>
      <c r="AF44" s="642"/>
      <c r="AG44" s="642"/>
      <c r="AH44" s="642"/>
      <c r="AI44" s="642"/>
      <c r="AJ44" s="642"/>
      <c r="AK44" s="642"/>
      <c r="AL44" s="642"/>
      <c r="AM44" s="642"/>
      <c r="AN44" s="642"/>
      <c r="AO44" s="642"/>
      <c r="AP44" s="642"/>
      <c r="AQ44" s="642"/>
      <c r="AR44" s="642"/>
      <c r="AS44" s="642"/>
      <c r="AT44" s="642"/>
      <c r="AU44" s="642"/>
      <c r="AV44" s="642"/>
      <c r="AW44" s="642"/>
      <c r="AX44" s="642"/>
      <c r="AY44" s="642"/>
      <c r="AZ44" s="642"/>
      <c r="BA44" s="642"/>
      <c r="BB44" s="642"/>
      <c r="BC44" s="642"/>
      <c r="BD44" s="642"/>
      <c r="BE44" s="642"/>
      <c r="BF44" s="642"/>
      <c r="BG44" s="642"/>
      <c r="BH44" s="642"/>
      <c r="BI44" s="642"/>
      <c r="BJ44" s="642"/>
      <c r="BK44" s="642"/>
      <c r="BL44" s="642"/>
      <c r="BM44" s="642"/>
      <c r="BN44" s="642"/>
      <c r="BO44" s="642"/>
      <c r="BP44" s="642"/>
      <c r="BQ44" s="642"/>
      <c r="BR44" s="642"/>
      <c r="BS44" s="642"/>
      <c r="BT44" s="642"/>
      <c r="BU44" s="642"/>
      <c r="BV44" s="642"/>
      <c r="BW44" s="642"/>
      <c r="BX44" s="642"/>
      <c r="BY44" s="642"/>
      <c r="BZ44" s="642"/>
      <c r="CA44" s="642"/>
      <c r="CB44" s="642"/>
      <c r="CC44" s="642"/>
      <c r="CD44" s="642"/>
      <c r="CE44" s="642"/>
      <c r="CF44" s="642"/>
      <c r="CG44" s="642"/>
      <c r="CH44" s="642"/>
      <c r="CI44" s="642"/>
      <c r="CJ44" s="642"/>
      <c r="CK44" s="642"/>
      <c r="CL44" s="642"/>
      <c r="CM44" s="642"/>
      <c r="CN44" s="642"/>
      <c r="CO44" s="642"/>
      <c r="CP44" s="642"/>
      <c r="CQ44" s="642"/>
      <c r="CR44" s="642"/>
      <c r="CS44" s="642"/>
      <c r="CT44" s="642"/>
      <c r="CU44" s="642"/>
      <c r="CV44" s="642"/>
      <c r="CW44" s="642"/>
      <c r="CX44" s="642"/>
      <c r="CY44" s="642"/>
      <c r="CZ44" s="642"/>
      <c r="DA44" s="642"/>
      <c r="DB44" s="642"/>
      <c r="DC44" s="642"/>
      <c r="DD44" s="642"/>
      <c r="DE44" s="642"/>
      <c r="DF44" s="642"/>
      <c r="DG44" s="642"/>
      <c r="DH44" s="642"/>
      <c r="DI44" s="642"/>
      <c r="DJ44" s="642"/>
      <c r="DK44" s="642"/>
      <c r="DL44" s="642"/>
      <c r="DM44" s="642"/>
      <c r="DN44" s="642"/>
      <c r="DO44" s="642"/>
      <c r="DP44" s="642"/>
      <c r="DQ44" s="642"/>
      <c r="DR44" s="642"/>
      <c r="DS44" s="642"/>
      <c r="DT44" s="642"/>
      <c r="DU44" s="642"/>
    </row>
    <row r="45" spans="1:125" s="596" customFormat="1">
      <c r="A45" s="714" t="s">
        <v>2479</v>
      </c>
      <c r="B45" s="1069" t="s">
        <v>2472</v>
      </c>
      <c r="C45" s="1327"/>
      <c r="D45" s="737" t="s">
        <v>18</v>
      </c>
      <c r="E45" s="782">
        <v>1</v>
      </c>
      <c r="F45" s="782">
        <v>8</v>
      </c>
      <c r="G45" s="782">
        <v>1</v>
      </c>
      <c r="H45" s="796"/>
      <c r="I45" s="796"/>
      <c r="J45" s="796"/>
      <c r="K45" s="796">
        <v>1</v>
      </c>
      <c r="L45" s="796">
        <v>1</v>
      </c>
      <c r="M45" s="796"/>
      <c r="N45" s="774">
        <f t="shared" ref="N45:N54" si="10">SUM(E45:M45)</f>
        <v>12</v>
      </c>
      <c r="O45" s="771"/>
      <c r="P45" s="711">
        <f t="shared" si="5"/>
        <v>0</v>
      </c>
      <c r="Q45" s="642"/>
      <c r="R45" s="642"/>
      <c r="S45" s="642"/>
      <c r="T45" s="642"/>
      <c r="U45" s="642"/>
      <c r="V45" s="642"/>
      <c r="W45" s="642"/>
      <c r="X45" s="642"/>
      <c r="Y45" s="642"/>
      <c r="Z45" s="642"/>
      <c r="AA45" s="642"/>
      <c r="AB45" s="642"/>
      <c r="AC45" s="642"/>
      <c r="AD45" s="642"/>
      <c r="AE45" s="642"/>
      <c r="AF45" s="642"/>
      <c r="AG45" s="642"/>
      <c r="AH45" s="642"/>
      <c r="AI45" s="642"/>
      <c r="AJ45" s="642"/>
      <c r="AK45" s="642"/>
      <c r="AL45" s="642"/>
      <c r="AM45" s="642"/>
      <c r="AN45" s="642"/>
      <c r="AO45" s="642"/>
      <c r="AP45" s="642"/>
      <c r="AQ45" s="642"/>
      <c r="AR45" s="642"/>
      <c r="AS45" s="642"/>
      <c r="AT45" s="642"/>
      <c r="AU45" s="642"/>
      <c r="AV45" s="642"/>
      <c r="AW45" s="642"/>
      <c r="AX45" s="642"/>
      <c r="AY45" s="642"/>
      <c r="AZ45" s="642"/>
      <c r="BA45" s="642"/>
      <c r="BB45" s="642"/>
      <c r="BC45" s="642"/>
      <c r="BD45" s="642"/>
      <c r="BE45" s="642"/>
      <c r="BF45" s="642"/>
      <c r="BG45" s="642"/>
      <c r="BH45" s="642"/>
      <c r="BI45" s="642"/>
      <c r="BJ45" s="642"/>
      <c r="BK45" s="642"/>
      <c r="BL45" s="642"/>
      <c r="BM45" s="642"/>
      <c r="BN45" s="642"/>
      <c r="BO45" s="642"/>
      <c r="BP45" s="642"/>
      <c r="BQ45" s="642"/>
      <c r="BR45" s="642"/>
      <c r="BS45" s="642"/>
      <c r="BT45" s="642"/>
      <c r="BU45" s="642"/>
      <c r="BV45" s="642"/>
      <c r="BW45" s="642"/>
      <c r="BX45" s="642"/>
      <c r="BY45" s="642"/>
      <c r="BZ45" s="642"/>
      <c r="CA45" s="642"/>
      <c r="CB45" s="642"/>
      <c r="CC45" s="642"/>
      <c r="CD45" s="642"/>
      <c r="CE45" s="642"/>
      <c r="CF45" s="642"/>
      <c r="CG45" s="642"/>
      <c r="CH45" s="642"/>
      <c r="CI45" s="642"/>
      <c r="CJ45" s="642"/>
      <c r="CK45" s="642"/>
      <c r="CL45" s="642"/>
      <c r="CM45" s="642"/>
      <c r="CN45" s="642"/>
      <c r="CO45" s="642"/>
      <c r="CP45" s="642"/>
      <c r="CQ45" s="642"/>
      <c r="CR45" s="642"/>
      <c r="CS45" s="642"/>
      <c r="CT45" s="642"/>
      <c r="CU45" s="642"/>
      <c r="CV45" s="642"/>
      <c r="CW45" s="642"/>
      <c r="CX45" s="642"/>
      <c r="CY45" s="642"/>
      <c r="CZ45" s="642"/>
      <c r="DA45" s="642"/>
      <c r="DB45" s="642"/>
      <c r="DC45" s="642"/>
      <c r="DD45" s="642"/>
      <c r="DE45" s="642"/>
      <c r="DF45" s="642"/>
      <c r="DG45" s="642"/>
      <c r="DH45" s="642"/>
      <c r="DI45" s="642"/>
      <c r="DJ45" s="642"/>
      <c r="DK45" s="642"/>
      <c r="DL45" s="642"/>
      <c r="DM45" s="642"/>
      <c r="DN45" s="642"/>
      <c r="DO45" s="642"/>
      <c r="DP45" s="642"/>
      <c r="DQ45" s="642"/>
      <c r="DR45" s="642"/>
      <c r="DS45" s="642"/>
      <c r="DT45" s="642"/>
      <c r="DU45" s="642"/>
    </row>
    <row r="46" spans="1:125" s="596" customFormat="1">
      <c r="A46" s="1348" t="s">
        <v>2480</v>
      </c>
      <c r="B46" s="1069" t="s">
        <v>2473</v>
      </c>
      <c r="C46" s="1327"/>
      <c r="D46" s="737" t="s">
        <v>18</v>
      </c>
      <c r="E46" s="782">
        <v>1</v>
      </c>
      <c r="F46" s="782">
        <v>1</v>
      </c>
      <c r="G46" s="782">
        <v>1</v>
      </c>
      <c r="H46" s="796"/>
      <c r="I46" s="796"/>
      <c r="J46" s="796"/>
      <c r="K46" s="796">
        <v>1</v>
      </c>
      <c r="L46" s="796">
        <v>1</v>
      </c>
      <c r="M46" s="796"/>
      <c r="N46" s="774">
        <f t="shared" si="10"/>
        <v>5</v>
      </c>
      <c r="O46" s="771"/>
      <c r="P46" s="711">
        <f t="shared" si="5"/>
        <v>0</v>
      </c>
      <c r="Q46" s="642"/>
      <c r="R46" s="642"/>
      <c r="S46" s="642"/>
      <c r="T46" s="642"/>
      <c r="U46" s="642"/>
      <c r="V46" s="642"/>
      <c r="W46" s="642"/>
      <c r="X46" s="642"/>
      <c r="Y46" s="642"/>
      <c r="Z46" s="642"/>
      <c r="AA46" s="642"/>
      <c r="AB46" s="642"/>
      <c r="AC46" s="642"/>
      <c r="AD46" s="642"/>
      <c r="AE46" s="642"/>
      <c r="AF46" s="642"/>
      <c r="AG46" s="642"/>
      <c r="AH46" s="642"/>
      <c r="AI46" s="642"/>
      <c r="AJ46" s="642"/>
      <c r="AK46" s="642"/>
      <c r="AL46" s="642"/>
      <c r="AM46" s="642"/>
      <c r="AN46" s="642"/>
      <c r="AO46" s="642"/>
      <c r="AP46" s="642"/>
      <c r="AQ46" s="642"/>
      <c r="AR46" s="642"/>
      <c r="AS46" s="642"/>
      <c r="AT46" s="642"/>
      <c r="AU46" s="642"/>
      <c r="AV46" s="642"/>
      <c r="AW46" s="642"/>
      <c r="AX46" s="642"/>
      <c r="AY46" s="642"/>
      <c r="AZ46" s="642"/>
      <c r="BA46" s="642"/>
      <c r="BB46" s="642"/>
      <c r="BC46" s="642"/>
      <c r="BD46" s="642"/>
      <c r="BE46" s="642"/>
      <c r="BF46" s="642"/>
      <c r="BG46" s="642"/>
      <c r="BH46" s="642"/>
      <c r="BI46" s="642"/>
      <c r="BJ46" s="642"/>
      <c r="BK46" s="642"/>
      <c r="BL46" s="642"/>
      <c r="BM46" s="642"/>
      <c r="BN46" s="642"/>
      <c r="BO46" s="642"/>
      <c r="BP46" s="642"/>
      <c r="BQ46" s="642"/>
      <c r="BR46" s="642"/>
      <c r="BS46" s="642"/>
      <c r="BT46" s="642"/>
      <c r="BU46" s="642"/>
      <c r="BV46" s="642"/>
      <c r="BW46" s="642"/>
      <c r="BX46" s="642"/>
      <c r="BY46" s="642"/>
      <c r="BZ46" s="642"/>
      <c r="CA46" s="642"/>
      <c r="CB46" s="642"/>
      <c r="CC46" s="642"/>
      <c r="CD46" s="642"/>
      <c r="CE46" s="642"/>
      <c r="CF46" s="642"/>
      <c r="CG46" s="642"/>
      <c r="CH46" s="642"/>
      <c r="CI46" s="642"/>
      <c r="CJ46" s="642"/>
      <c r="CK46" s="642"/>
      <c r="CL46" s="642"/>
      <c r="CM46" s="642"/>
      <c r="CN46" s="642"/>
      <c r="CO46" s="642"/>
      <c r="CP46" s="642"/>
      <c r="CQ46" s="642"/>
      <c r="CR46" s="642"/>
      <c r="CS46" s="642"/>
      <c r="CT46" s="642"/>
      <c r="CU46" s="642"/>
      <c r="CV46" s="642"/>
      <c r="CW46" s="642"/>
      <c r="CX46" s="642"/>
      <c r="CY46" s="642"/>
      <c r="CZ46" s="642"/>
      <c r="DA46" s="642"/>
      <c r="DB46" s="642"/>
      <c r="DC46" s="642"/>
      <c r="DD46" s="642"/>
      <c r="DE46" s="642"/>
      <c r="DF46" s="642"/>
      <c r="DG46" s="642"/>
      <c r="DH46" s="642"/>
      <c r="DI46" s="642"/>
      <c r="DJ46" s="642"/>
      <c r="DK46" s="642"/>
      <c r="DL46" s="642"/>
      <c r="DM46" s="642"/>
      <c r="DN46" s="642"/>
      <c r="DO46" s="642"/>
      <c r="DP46" s="642"/>
      <c r="DQ46" s="642"/>
      <c r="DR46" s="642"/>
      <c r="DS46" s="642"/>
      <c r="DT46" s="642"/>
      <c r="DU46" s="642"/>
    </row>
    <row r="47" spans="1:125" s="596" customFormat="1">
      <c r="A47" s="1348" t="s">
        <v>2481</v>
      </c>
      <c r="B47" s="1069" t="s">
        <v>2474</v>
      </c>
      <c r="C47" s="1327"/>
      <c r="D47" s="737" t="s">
        <v>18</v>
      </c>
      <c r="E47" s="782">
        <v>1</v>
      </c>
      <c r="F47" s="782">
        <v>7</v>
      </c>
      <c r="G47" s="782">
        <v>1</v>
      </c>
      <c r="H47" s="796"/>
      <c r="I47" s="796"/>
      <c r="J47" s="796"/>
      <c r="K47" s="796">
        <v>1</v>
      </c>
      <c r="L47" s="796">
        <v>1</v>
      </c>
      <c r="M47" s="796"/>
      <c r="N47" s="774">
        <f t="shared" si="10"/>
        <v>11</v>
      </c>
      <c r="O47" s="771"/>
      <c r="P47" s="711">
        <f t="shared" si="5"/>
        <v>0</v>
      </c>
      <c r="Q47" s="642"/>
      <c r="R47" s="642"/>
      <c r="S47" s="642"/>
      <c r="T47" s="642"/>
      <c r="U47" s="642"/>
      <c r="V47" s="642"/>
      <c r="W47" s="642"/>
      <c r="X47" s="642"/>
      <c r="Y47" s="642"/>
      <c r="Z47" s="642"/>
      <c r="AA47" s="642"/>
      <c r="AB47" s="642"/>
      <c r="AC47" s="642"/>
      <c r="AD47" s="642"/>
      <c r="AE47" s="642"/>
      <c r="AF47" s="642"/>
      <c r="AG47" s="642"/>
      <c r="AH47" s="642"/>
      <c r="AI47" s="642"/>
      <c r="AJ47" s="642"/>
      <c r="AK47" s="642"/>
      <c r="AL47" s="642"/>
      <c r="AM47" s="642"/>
      <c r="AN47" s="642"/>
      <c r="AO47" s="642"/>
      <c r="AP47" s="642"/>
      <c r="AQ47" s="642"/>
      <c r="AR47" s="642"/>
      <c r="AS47" s="642"/>
      <c r="AT47" s="642"/>
      <c r="AU47" s="642"/>
      <c r="AV47" s="642"/>
      <c r="AW47" s="642"/>
      <c r="AX47" s="642"/>
      <c r="AY47" s="642"/>
      <c r="AZ47" s="642"/>
      <c r="BA47" s="642"/>
      <c r="BB47" s="642"/>
      <c r="BC47" s="642"/>
      <c r="BD47" s="642"/>
      <c r="BE47" s="642"/>
      <c r="BF47" s="642"/>
      <c r="BG47" s="642"/>
      <c r="BH47" s="642"/>
      <c r="BI47" s="642"/>
      <c r="BJ47" s="642"/>
      <c r="BK47" s="642"/>
      <c r="BL47" s="642"/>
      <c r="BM47" s="642"/>
      <c r="BN47" s="642"/>
      <c r="BO47" s="642"/>
      <c r="BP47" s="642"/>
      <c r="BQ47" s="642"/>
      <c r="BR47" s="642"/>
      <c r="BS47" s="642"/>
      <c r="BT47" s="642"/>
      <c r="BU47" s="642"/>
      <c r="BV47" s="642"/>
      <c r="BW47" s="642"/>
      <c r="BX47" s="642"/>
      <c r="BY47" s="642"/>
      <c r="BZ47" s="642"/>
      <c r="CA47" s="642"/>
      <c r="CB47" s="642"/>
      <c r="CC47" s="642"/>
      <c r="CD47" s="642"/>
      <c r="CE47" s="642"/>
      <c r="CF47" s="642"/>
      <c r="CG47" s="642"/>
      <c r="CH47" s="642"/>
      <c r="CI47" s="642"/>
      <c r="CJ47" s="642"/>
      <c r="CK47" s="642"/>
      <c r="CL47" s="642"/>
      <c r="CM47" s="642"/>
      <c r="CN47" s="642"/>
      <c r="CO47" s="642"/>
      <c r="CP47" s="642"/>
      <c r="CQ47" s="642"/>
      <c r="CR47" s="642"/>
      <c r="CS47" s="642"/>
      <c r="CT47" s="642"/>
      <c r="CU47" s="642"/>
      <c r="CV47" s="642"/>
      <c r="CW47" s="642"/>
      <c r="CX47" s="642"/>
      <c r="CY47" s="642"/>
      <c r="CZ47" s="642"/>
      <c r="DA47" s="642"/>
      <c r="DB47" s="642"/>
      <c r="DC47" s="642"/>
      <c r="DD47" s="642"/>
      <c r="DE47" s="642"/>
      <c r="DF47" s="642"/>
      <c r="DG47" s="642"/>
      <c r="DH47" s="642"/>
      <c r="DI47" s="642"/>
      <c r="DJ47" s="642"/>
      <c r="DK47" s="642"/>
      <c r="DL47" s="642"/>
      <c r="DM47" s="642"/>
      <c r="DN47" s="642"/>
      <c r="DO47" s="642"/>
      <c r="DP47" s="642"/>
      <c r="DQ47" s="642"/>
      <c r="DR47" s="642"/>
      <c r="DS47" s="642"/>
      <c r="DT47" s="642"/>
      <c r="DU47" s="642"/>
    </row>
    <row r="48" spans="1:125">
      <c r="A48" s="958" t="s">
        <v>1327</v>
      </c>
      <c r="B48" s="946" t="s">
        <v>473</v>
      </c>
      <c r="C48" s="1327" t="s">
        <v>465</v>
      </c>
      <c r="D48" s="737" t="s">
        <v>18</v>
      </c>
      <c r="E48" s="782">
        <v>1</v>
      </c>
      <c r="F48" s="782">
        <v>1</v>
      </c>
      <c r="G48" s="782">
        <v>1</v>
      </c>
      <c r="H48" s="968">
        <v>1</v>
      </c>
      <c r="I48" s="968">
        <v>1</v>
      </c>
      <c r="J48" s="968">
        <v>1</v>
      </c>
      <c r="K48" s="968">
        <v>1</v>
      </c>
      <c r="L48" s="968">
        <v>1</v>
      </c>
      <c r="M48" s="968">
        <v>1</v>
      </c>
      <c r="N48" s="774">
        <f t="shared" si="10"/>
        <v>9</v>
      </c>
      <c r="O48" s="771"/>
      <c r="P48" s="711">
        <f t="shared" si="5"/>
        <v>0</v>
      </c>
    </row>
    <row r="49" spans="1:125">
      <c r="A49" s="1394" t="s">
        <v>1328</v>
      </c>
      <c r="B49" s="946" t="s">
        <v>541</v>
      </c>
      <c r="C49" s="1327" t="s">
        <v>466</v>
      </c>
      <c r="D49" s="737" t="s">
        <v>11</v>
      </c>
      <c r="E49" s="782">
        <v>48</v>
      </c>
      <c r="F49" s="782">
        <v>100</v>
      </c>
      <c r="G49" s="782">
        <v>50</v>
      </c>
      <c r="H49" s="971"/>
      <c r="I49" s="971"/>
      <c r="J49" s="971"/>
      <c r="K49" s="971"/>
      <c r="L49" s="971"/>
      <c r="M49" s="971"/>
      <c r="N49" s="774">
        <f t="shared" si="10"/>
        <v>198</v>
      </c>
      <c r="O49" s="771"/>
      <c r="P49" s="711">
        <f t="shared" si="5"/>
        <v>0</v>
      </c>
    </row>
    <row r="50" spans="1:125">
      <c r="A50" s="1394" t="s">
        <v>1329</v>
      </c>
      <c r="B50" s="946" t="s">
        <v>1318</v>
      </c>
      <c r="C50" s="1327" t="s">
        <v>623</v>
      </c>
      <c r="D50" s="737" t="s">
        <v>11</v>
      </c>
      <c r="E50" s="782">
        <v>120</v>
      </c>
      <c r="F50" s="782">
        <v>50</v>
      </c>
      <c r="G50" s="782">
        <v>50</v>
      </c>
      <c r="H50" s="968"/>
      <c r="I50" s="968"/>
      <c r="J50" s="968"/>
      <c r="K50" s="968"/>
      <c r="L50" s="968"/>
      <c r="M50" s="968"/>
      <c r="N50" s="774">
        <f t="shared" si="10"/>
        <v>220</v>
      </c>
      <c r="O50" s="771"/>
      <c r="P50" s="711">
        <f t="shared" si="5"/>
        <v>0</v>
      </c>
    </row>
    <row r="51" spans="1:125">
      <c r="A51" s="1394" t="s">
        <v>1330</v>
      </c>
      <c r="B51" s="946" t="s">
        <v>1319</v>
      </c>
      <c r="C51" s="1327" t="s">
        <v>623</v>
      </c>
      <c r="D51" s="737" t="s">
        <v>11</v>
      </c>
      <c r="E51" s="782">
        <v>1000</v>
      </c>
      <c r="F51" s="782">
        <v>50</v>
      </c>
      <c r="G51" s="782">
        <v>50</v>
      </c>
      <c r="H51" s="968"/>
      <c r="I51" s="968"/>
      <c r="J51" s="968"/>
      <c r="K51" s="968"/>
      <c r="L51" s="968"/>
      <c r="M51" s="968"/>
      <c r="N51" s="774">
        <f t="shared" si="10"/>
        <v>1100</v>
      </c>
      <c r="O51" s="771"/>
      <c r="P51" s="711">
        <f t="shared" si="5"/>
        <v>0</v>
      </c>
    </row>
    <row r="52" spans="1:125">
      <c r="A52" s="1394" t="s">
        <v>1331</v>
      </c>
      <c r="B52" s="946" t="s">
        <v>1320</v>
      </c>
      <c r="C52" s="1327" t="s">
        <v>622</v>
      </c>
      <c r="D52" s="737" t="s">
        <v>11</v>
      </c>
      <c r="E52" s="782">
        <v>120</v>
      </c>
      <c r="F52" s="782">
        <v>50</v>
      </c>
      <c r="G52" s="782">
        <v>300</v>
      </c>
      <c r="H52" s="968"/>
      <c r="I52" s="968"/>
      <c r="J52" s="968"/>
      <c r="K52" s="968"/>
      <c r="L52" s="968"/>
      <c r="M52" s="968"/>
      <c r="N52" s="774">
        <f t="shared" si="10"/>
        <v>470</v>
      </c>
      <c r="O52" s="771"/>
      <c r="P52" s="711">
        <f t="shared" si="5"/>
        <v>0</v>
      </c>
    </row>
    <row r="53" spans="1:125">
      <c r="A53" s="1394" t="s">
        <v>1332</v>
      </c>
      <c r="B53" s="946" t="s">
        <v>1321</v>
      </c>
      <c r="C53" s="1327" t="s">
        <v>622</v>
      </c>
      <c r="D53" s="737" t="s">
        <v>11</v>
      </c>
      <c r="E53" s="782">
        <v>1000</v>
      </c>
      <c r="F53" s="782">
        <v>50</v>
      </c>
      <c r="G53" s="782">
        <v>500</v>
      </c>
      <c r="H53" s="968"/>
      <c r="I53" s="968"/>
      <c r="J53" s="968"/>
      <c r="K53" s="968"/>
      <c r="L53" s="968"/>
      <c r="M53" s="968">
        <v>200</v>
      </c>
      <c r="N53" s="774">
        <f t="shared" si="10"/>
        <v>1750</v>
      </c>
      <c r="O53" s="771"/>
      <c r="P53" s="711">
        <f t="shared" si="5"/>
        <v>0</v>
      </c>
    </row>
    <row r="54" spans="1:125">
      <c r="A54" s="1394" t="s">
        <v>1333</v>
      </c>
      <c r="B54" s="946" t="s">
        <v>472</v>
      </c>
      <c r="C54" s="1327" t="s">
        <v>1051</v>
      </c>
      <c r="D54" s="737" t="s">
        <v>11</v>
      </c>
      <c r="E54" s="782">
        <v>185</v>
      </c>
      <c r="F54" s="782"/>
      <c r="G54" s="782"/>
      <c r="H54" s="968"/>
      <c r="I54" s="968"/>
      <c r="J54" s="968"/>
      <c r="K54" s="968"/>
      <c r="L54" s="968"/>
      <c r="M54" s="968"/>
      <c r="N54" s="774">
        <f t="shared" si="10"/>
        <v>185</v>
      </c>
      <c r="O54" s="771"/>
      <c r="P54" s="711">
        <f t="shared" si="5"/>
        <v>0</v>
      </c>
    </row>
    <row r="55" spans="1:125" s="823" customFormat="1">
      <c r="A55" s="1394" t="s">
        <v>1335</v>
      </c>
      <c r="B55" s="946" t="s">
        <v>649</v>
      </c>
      <c r="C55" s="1328" t="s">
        <v>2276</v>
      </c>
      <c r="D55" s="737"/>
      <c r="E55" s="782"/>
      <c r="F55" s="782"/>
      <c r="G55" s="782"/>
      <c r="H55" s="968"/>
      <c r="I55" s="968"/>
      <c r="J55" s="968"/>
      <c r="K55" s="968"/>
      <c r="L55" s="968"/>
      <c r="M55" s="968"/>
      <c r="N55" s="774"/>
      <c r="O55" s="775"/>
      <c r="P55" s="711"/>
      <c r="Q55" s="642"/>
      <c r="R55" s="642"/>
      <c r="S55" s="642"/>
      <c r="T55" s="642"/>
      <c r="U55" s="642"/>
      <c r="V55" s="642"/>
      <c r="W55" s="642"/>
      <c r="X55" s="642"/>
      <c r="Y55" s="642"/>
      <c r="Z55" s="642"/>
      <c r="AA55" s="642"/>
      <c r="AB55" s="642"/>
      <c r="AC55" s="642"/>
      <c r="AD55" s="642"/>
      <c r="AE55" s="642"/>
      <c r="AF55" s="642"/>
      <c r="AG55" s="642"/>
      <c r="AH55" s="642"/>
      <c r="AI55" s="642"/>
      <c r="AJ55" s="642"/>
      <c r="AK55" s="642"/>
      <c r="AL55" s="642"/>
      <c r="AM55" s="642"/>
      <c r="AN55" s="642"/>
      <c r="AO55" s="642"/>
      <c r="AP55" s="642"/>
      <c r="AQ55" s="642"/>
      <c r="AR55" s="642"/>
      <c r="AS55" s="642"/>
      <c r="AT55" s="642"/>
      <c r="AU55" s="642"/>
      <c r="AV55" s="642"/>
      <c r="AW55" s="642"/>
      <c r="AX55" s="642"/>
      <c r="AY55" s="642"/>
      <c r="AZ55" s="642"/>
      <c r="BA55" s="642"/>
      <c r="BB55" s="642"/>
      <c r="BC55" s="642"/>
      <c r="BD55" s="642"/>
      <c r="BE55" s="642"/>
      <c r="BF55" s="642"/>
      <c r="BG55" s="642"/>
      <c r="BH55" s="642"/>
      <c r="BI55" s="642"/>
      <c r="BJ55" s="642"/>
      <c r="BK55" s="642"/>
      <c r="BL55" s="642"/>
      <c r="BM55" s="642"/>
      <c r="BN55" s="642"/>
      <c r="BO55" s="642"/>
      <c r="BP55" s="642"/>
      <c r="BQ55" s="642"/>
      <c r="BR55" s="642"/>
      <c r="BS55" s="642"/>
      <c r="BT55" s="642"/>
      <c r="BU55" s="642"/>
      <c r="BV55" s="642"/>
      <c r="BW55" s="642"/>
      <c r="BX55" s="642"/>
      <c r="BY55" s="642"/>
      <c r="BZ55" s="642"/>
      <c r="CA55" s="642"/>
      <c r="CB55" s="642"/>
      <c r="CC55" s="642"/>
      <c r="CD55" s="642"/>
      <c r="CE55" s="642"/>
      <c r="CF55" s="642"/>
      <c r="CG55" s="642"/>
      <c r="CH55" s="642"/>
      <c r="CI55" s="642"/>
      <c r="CJ55" s="642"/>
      <c r="CK55" s="642"/>
      <c r="CL55" s="642"/>
      <c r="CM55" s="642"/>
      <c r="CN55" s="642"/>
      <c r="CO55" s="642"/>
      <c r="CP55" s="642"/>
      <c r="CQ55" s="642"/>
      <c r="CR55" s="642"/>
      <c r="CS55" s="642"/>
      <c r="CT55" s="642"/>
      <c r="CU55" s="642"/>
      <c r="CV55" s="642"/>
      <c r="CW55" s="642"/>
      <c r="CX55" s="642"/>
      <c r="CY55" s="642"/>
      <c r="CZ55" s="642"/>
      <c r="DA55" s="642"/>
      <c r="DB55" s="642"/>
      <c r="DC55" s="642"/>
      <c r="DD55" s="642"/>
      <c r="DE55" s="642"/>
      <c r="DF55" s="642"/>
      <c r="DG55" s="642"/>
      <c r="DH55" s="642"/>
      <c r="DI55" s="642"/>
      <c r="DJ55" s="642"/>
      <c r="DK55" s="642"/>
      <c r="DL55" s="642"/>
      <c r="DM55" s="642"/>
      <c r="DN55" s="642"/>
      <c r="DO55" s="642"/>
      <c r="DP55" s="642"/>
      <c r="DQ55" s="642"/>
      <c r="DR55" s="642"/>
      <c r="DS55" s="642"/>
      <c r="DT55" s="642"/>
      <c r="DU55" s="642"/>
    </row>
    <row r="56" spans="1:125" s="599" customFormat="1">
      <c r="A56" s="714" t="s">
        <v>1336</v>
      </c>
      <c r="B56" s="1068" t="s">
        <v>479</v>
      </c>
      <c r="C56" s="1328"/>
      <c r="D56" s="737" t="s">
        <v>11</v>
      </c>
      <c r="E56" s="782">
        <v>303</v>
      </c>
      <c r="F56" s="782" t="s">
        <v>532</v>
      </c>
      <c r="G56" s="782"/>
      <c r="H56" s="968"/>
      <c r="I56" s="968"/>
      <c r="J56" s="968"/>
      <c r="K56" s="968"/>
      <c r="L56" s="968"/>
      <c r="M56" s="968"/>
      <c r="N56" s="774">
        <f t="shared" ref="N56:N65" si="11">SUM(E56:M56)</f>
        <v>303</v>
      </c>
      <c r="O56" s="771"/>
      <c r="P56" s="711">
        <f t="shared" si="5"/>
        <v>0</v>
      </c>
      <c r="Q56" s="642"/>
      <c r="R56" s="642"/>
      <c r="S56" s="642"/>
      <c r="T56" s="642"/>
      <c r="U56" s="642"/>
      <c r="V56" s="642"/>
      <c r="W56" s="642"/>
      <c r="X56" s="642"/>
      <c r="Y56" s="642"/>
      <c r="Z56" s="642"/>
      <c r="AA56" s="642"/>
      <c r="AB56" s="642"/>
      <c r="AC56" s="642"/>
      <c r="AD56" s="642"/>
      <c r="AE56" s="642"/>
      <c r="AF56" s="642"/>
      <c r="AG56" s="642"/>
      <c r="AH56" s="642"/>
      <c r="AI56" s="642"/>
      <c r="AJ56" s="642"/>
      <c r="AK56" s="642"/>
      <c r="AL56" s="642"/>
      <c r="AM56" s="642"/>
      <c r="AN56" s="642"/>
      <c r="AO56" s="642"/>
      <c r="AP56" s="642"/>
      <c r="AQ56" s="642"/>
      <c r="AR56" s="642"/>
      <c r="AS56" s="642"/>
      <c r="AT56" s="642"/>
      <c r="AU56" s="642"/>
      <c r="AV56" s="642"/>
      <c r="AW56" s="642"/>
      <c r="AX56" s="642"/>
      <c r="AY56" s="642"/>
      <c r="AZ56" s="642"/>
      <c r="BA56" s="642"/>
      <c r="BB56" s="642"/>
      <c r="BC56" s="642"/>
      <c r="BD56" s="642"/>
      <c r="BE56" s="642"/>
      <c r="BF56" s="642"/>
      <c r="BG56" s="642"/>
      <c r="BH56" s="642"/>
      <c r="BI56" s="642"/>
      <c r="BJ56" s="642"/>
      <c r="BK56" s="642"/>
      <c r="BL56" s="642"/>
      <c r="BM56" s="642"/>
      <c r="BN56" s="642"/>
      <c r="BO56" s="642"/>
      <c r="BP56" s="642"/>
      <c r="BQ56" s="642"/>
      <c r="BR56" s="642"/>
      <c r="BS56" s="642"/>
      <c r="BT56" s="642"/>
      <c r="BU56" s="642"/>
      <c r="BV56" s="642"/>
      <c r="BW56" s="642"/>
      <c r="BX56" s="642"/>
      <c r="BY56" s="642"/>
      <c r="BZ56" s="642"/>
      <c r="CA56" s="642"/>
      <c r="CB56" s="642"/>
      <c r="CC56" s="642"/>
      <c r="CD56" s="642"/>
      <c r="CE56" s="642"/>
      <c r="CF56" s="642"/>
      <c r="CG56" s="642"/>
      <c r="CH56" s="642"/>
      <c r="CI56" s="642"/>
      <c r="CJ56" s="642"/>
      <c r="CK56" s="642"/>
      <c r="CL56" s="642"/>
      <c r="CM56" s="642"/>
      <c r="CN56" s="642"/>
      <c r="CO56" s="642"/>
      <c r="CP56" s="642"/>
      <c r="CQ56" s="642"/>
      <c r="CR56" s="642"/>
      <c r="CS56" s="642"/>
      <c r="CT56" s="642"/>
      <c r="CU56" s="642"/>
      <c r="CV56" s="642"/>
      <c r="CW56" s="642"/>
      <c r="CX56" s="642"/>
      <c r="CY56" s="642"/>
      <c r="CZ56" s="642"/>
      <c r="DA56" s="642"/>
      <c r="DB56" s="642"/>
      <c r="DC56" s="642"/>
      <c r="DD56" s="642"/>
      <c r="DE56" s="642"/>
      <c r="DF56" s="642"/>
      <c r="DG56" s="642"/>
      <c r="DH56" s="642"/>
      <c r="DI56" s="642"/>
      <c r="DJ56" s="642"/>
      <c r="DK56" s="642"/>
      <c r="DL56" s="642"/>
      <c r="DM56" s="642"/>
      <c r="DN56" s="642"/>
      <c r="DO56" s="642"/>
      <c r="DP56" s="642"/>
      <c r="DQ56" s="642"/>
      <c r="DR56" s="642"/>
      <c r="DS56" s="642"/>
      <c r="DT56" s="642"/>
      <c r="DU56" s="642"/>
    </row>
    <row r="57" spans="1:125" s="599" customFormat="1">
      <c r="A57" s="1348" t="s">
        <v>1337</v>
      </c>
      <c r="B57" s="1068" t="s">
        <v>480</v>
      </c>
      <c r="C57" s="1328"/>
      <c r="D57" s="737" t="s">
        <v>11</v>
      </c>
      <c r="E57" s="782">
        <v>399</v>
      </c>
      <c r="F57" s="782">
        <v>219</v>
      </c>
      <c r="G57" s="782"/>
      <c r="H57" s="968"/>
      <c r="I57" s="968"/>
      <c r="J57" s="968"/>
      <c r="K57" s="968"/>
      <c r="L57" s="968"/>
      <c r="M57" s="968"/>
      <c r="N57" s="774">
        <f t="shared" si="11"/>
        <v>618</v>
      </c>
      <c r="O57" s="771"/>
      <c r="P57" s="711">
        <f t="shared" si="5"/>
        <v>0</v>
      </c>
      <c r="Q57" s="642"/>
      <c r="R57" s="642"/>
      <c r="S57" s="642"/>
      <c r="T57" s="642"/>
      <c r="U57" s="642"/>
      <c r="V57" s="642"/>
      <c r="W57" s="642"/>
      <c r="X57" s="642"/>
      <c r="Y57" s="642"/>
      <c r="Z57" s="642"/>
      <c r="AA57" s="642"/>
      <c r="AB57" s="642"/>
      <c r="AC57" s="642"/>
      <c r="AD57" s="642"/>
      <c r="AE57" s="642"/>
      <c r="AF57" s="642"/>
      <c r="AG57" s="642"/>
      <c r="AH57" s="642"/>
      <c r="AI57" s="642"/>
      <c r="AJ57" s="642"/>
      <c r="AK57" s="642"/>
      <c r="AL57" s="642"/>
      <c r="AM57" s="642"/>
      <c r="AN57" s="642"/>
      <c r="AO57" s="642"/>
      <c r="AP57" s="642"/>
      <c r="AQ57" s="642"/>
      <c r="AR57" s="642"/>
      <c r="AS57" s="642"/>
      <c r="AT57" s="642"/>
      <c r="AU57" s="642"/>
      <c r="AV57" s="642"/>
      <c r="AW57" s="642"/>
      <c r="AX57" s="642"/>
      <c r="AY57" s="642"/>
      <c r="AZ57" s="642"/>
      <c r="BA57" s="642"/>
      <c r="BB57" s="642"/>
      <c r="BC57" s="642"/>
      <c r="BD57" s="642"/>
      <c r="BE57" s="642"/>
      <c r="BF57" s="642"/>
      <c r="BG57" s="642"/>
      <c r="BH57" s="642"/>
      <c r="BI57" s="642"/>
      <c r="BJ57" s="642"/>
      <c r="BK57" s="642"/>
      <c r="BL57" s="642"/>
      <c r="BM57" s="642"/>
      <c r="BN57" s="642"/>
      <c r="BO57" s="642"/>
      <c r="BP57" s="642"/>
      <c r="BQ57" s="642"/>
      <c r="BR57" s="642"/>
      <c r="BS57" s="642"/>
      <c r="BT57" s="642"/>
      <c r="BU57" s="642"/>
      <c r="BV57" s="642"/>
      <c r="BW57" s="642"/>
      <c r="BX57" s="642"/>
      <c r="BY57" s="642"/>
      <c r="BZ57" s="642"/>
      <c r="CA57" s="642"/>
      <c r="CB57" s="642"/>
      <c r="CC57" s="642"/>
      <c r="CD57" s="642"/>
      <c r="CE57" s="642"/>
      <c r="CF57" s="642"/>
      <c r="CG57" s="642"/>
      <c r="CH57" s="642"/>
      <c r="CI57" s="642"/>
      <c r="CJ57" s="642"/>
      <c r="CK57" s="642"/>
      <c r="CL57" s="642"/>
      <c r="CM57" s="642"/>
      <c r="CN57" s="642"/>
      <c r="CO57" s="642"/>
      <c r="CP57" s="642"/>
      <c r="CQ57" s="642"/>
      <c r="CR57" s="642"/>
      <c r="CS57" s="642"/>
      <c r="CT57" s="642"/>
      <c r="CU57" s="642"/>
      <c r="CV57" s="642"/>
      <c r="CW57" s="642"/>
      <c r="CX57" s="642"/>
      <c r="CY57" s="642"/>
      <c r="CZ57" s="642"/>
      <c r="DA57" s="642"/>
      <c r="DB57" s="642"/>
      <c r="DC57" s="642"/>
      <c r="DD57" s="642"/>
      <c r="DE57" s="642"/>
      <c r="DF57" s="642"/>
      <c r="DG57" s="642"/>
      <c r="DH57" s="642"/>
      <c r="DI57" s="642"/>
      <c r="DJ57" s="642"/>
      <c r="DK57" s="642"/>
      <c r="DL57" s="642"/>
      <c r="DM57" s="642"/>
      <c r="DN57" s="642"/>
      <c r="DO57" s="642"/>
      <c r="DP57" s="642"/>
      <c r="DQ57" s="642"/>
      <c r="DR57" s="642"/>
      <c r="DS57" s="642"/>
      <c r="DT57" s="642"/>
      <c r="DU57" s="642"/>
    </row>
    <row r="58" spans="1:125" s="599" customFormat="1">
      <c r="A58" s="1348" t="s">
        <v>1338</v>
      </c>
      <c r="B58" s="1068" t="s">
        <v>481</v>
      </c>
      <c r="C58" s="1328"/>
      <c r="D58" s="737" t="s">
        <v>11</v>
      </c>
      <c r="E58" s="782">
        <v>531</v>
      </c>
      <c r="F58" s="782">
        <v>570</v>
      </c>
      <c r="G58" s="782">
        <v>940</v>
      </c>
      <c r="H58" s="968"/>
      <c r="I58" s="968"/>
      <c r="J58" s="968"/>
      <c r="K58" s="968"/>
      <c r="L58" s="968"/>
      <c r="M58" s="968"/>
      <c r="N58" s="774">
        <f t="shared" si="11"/>
        <v>2041</v>
      </c>
      <c r="O58" s="771"/>
      <c r="P58" s="711">
        <f t="shared" si="5"/>
        <v>0</v>
      </c>
      <c r="Q58" s="642"/>
      <c r="R58" s="642"/>
      <c r="S58" s="642"/>
      <c r="T58" s="642"/>
      <c r="U58" s="642"/>
      <c r="V58" s="642"/>
      <c r="W58" s="642"/>
      <c r="X58" s="642"/>
      <c r="Y58" s="642"/>
      <c r="Z58" s="642"/>
      <c r="AA58" s="642"/>
      <c r="AB58" s="642"/>
      <c r="AC58" s="642"/>
      <c r="AD58" s="642"/>
      <c r="AE58" s="642"/>
      <c r="AF58" s="642"/>
      <c r="AG58" s="642"/>
      <c r="AH58" s="642"/>
      <c r="AI58" s="642"/>
      <c r="AJ58" s="642"/>
      <c r="AK58" s="642"/>
      <c r="AL58" s="642"/>
      <c r="AM58" s="642"/>
      <c r="AN58" s="642"/>
      <c r="AO58" s="642"/>
      <c r="AP58" s="642"/>
      <c r="AQ58" s="642"/>
      <c r="AR58" s="642"/>
      <c r="AS58" s="642"/>
      <c r="AT58" s="642"/>
      <c r="AU58" s="642"/>
      <c r="AV58" s="642"/>
      <c r="AW58" s="642"/>
      <c r="AX58" s="642"/>
      <c r="AY58" s="642"/>
      <c r="AZ58" s="642"/>
      <c r="BA58" s="642"/>
      <c r="BB58" s="642"/>
      <c r="BC58" s="642"/>
      <c r="BD58" s="642"/>
      <c r="BE58" s="642"/>
      <c r="BF58" s="642"/>
      <c r="BG58" s="642"/>
      <c r="BH58" s="642"/>
      <c r="BI58" s="642"/>
      <c r="BJ58" s="642"/>
      <c r="BK58" s="642"/>
      <c r="BL58" s="642"/>
      <c r="BM58" s="642"/>
      <c r="BN58" s="642"/>
      <c r="BO58" s="642"/>
      <c r="BP58" s="642"/>
      <c r="BQ58" s="642"/>
      <c r="BR58" s="642"/>
      <c r="BS58" s="642"/>
      <c r="BT58" s="642"/>
      <c r="BU58" s="642"/>
      <c r="BV58" s="642"/>
      <c r="BW58" s="642"/>
      <c r="BX58" s="642"/>
      <c r="BY58" s="642"/>
      <c r="BZ58" s="642"/>
      <c r="CA58" s="642"/>
      <c r="CB58" s="642"/>
      <c r="CC58" s="642"/>
      <c r="CD58" s="642"/>
      <c r="CE58" s="642"/>
      <c r="CF58" s="642"/>
      <c r="CG58" s="642"/>
      <c r="CH58" s="642"/>
      <c r="CI58" s="642"/>
      <c r="CJ58" s="642"/>
      <c r="CK58" s="642"/>
      <c r="CL58" s="642"/>
      <c r="CM58" s="642"/>
      <c r="CN58" s="642"/>
      <c r="CO58" s="642"/>
      <c r="CP58" s="642"/>
      <c r="CQ58" s="642"/>
      <c r="CR58" s="642"/>
      <c r="CS58" s="642"/>
      <c r="CT58" s="642"/>
      <c r="CU58" s="642"/>
      <c r="CV58" s="642"/>
      <c r="CW58" s="642"/>
      <c r="CX58" s="642"/>
      <c r="CY58" s="642"/>
      <c r="CZ58" s="642"/>
      <c r="DA58" s="642"/>
      <c r="DB58" s="642"/>
      <c r="DC58" s="642"/>
      <c r="DD58" s="642"/>
      <c r="DE58" s="642"/>
      <c r="DF58" s="642"/>
      <c r="DG58" s="642"/>
      <c r="DH58" s="642"/>
      <c r="DI58" s="642"/>
      <c r="DJ58" s="642"/>
      <c r="DK58" s="642"/>
      <c r="DL58" s="642"/>
      <c r="DM58" s="642"/>
      <c r="DN58" s="642"/>
      <c r="DO58" s="642"/>
      <c r="DP58" s="642"/>
      <c r="DQ58" s="642"/>
      <c r="DR58" s="642"/>
      <c r="DS58" s="642"/>
      <c r="DT58" s="642"/>
      <c r="DU58" s="642"/>
    </row>
    <row r="59" spans="1:125" s="599" customFormat="1">
      <c r="A59" s="1348" t="s">
        <v>1339</v>
      </c>
      <c r="B59" s="1068" t="s">
        <v>482</v>
      </c>
      <c r="C59" s="1328"/>
      <c r="D59" s="737" t="s">
        <v>11</v>
      </c>
      <c r="E59" s="782">
        <v>1075</v>
      </c>
      <c r="F59" s="782">
        <v>1586</v>
      </c>
      <c r="G59" s="782">
        <v>60</v>
      </c>
      <c r="H59" s="968"/>
      <c r="I59" s="968"/>
      <c r="J59" s="968"/>
      <c r="K59" s="968"/>
      <c r="L59" s="968"/>
      <c r="M59" s="968"/>
      <c r="N59" s="774">
        <f t="shared" si="11"/>
        <v>2721</v>
      </c>
      <c r="O59" s="771"/>
      <c r="P59" s="711">
        <f t="shared" si="5"/>
        <v>0</v>
      </c>
      <c r="Q59" s="642"/>
      <c r="R59" s="642"/>
      <c r="S59" s="642"/>
      <c r="T59" s="642"/>
      <c r="U59" s="642"/>
      <c r="V59" s="642"/>
      <c r="W59" s="642"/>
      <c r="X59" s="642"/>
      <c r="Y59" s="642"/>
      <c r="Z59" s="642"/>
      <c r="AA59" s="642"/>
      <c r="AB59" s="642"/>
      <c r="AC59" s="642"/>
      <c r="AD59" s="642"/>
      <c r="AE59" s="642"/>
      <c r="AF59" s="642"/>
      <c r="AG59" s="642"/>
      <c r="AH59" s="642"/>
      <c r="AI59" s="642"/>
      <c r="AJ59" s="642"/>
      <c r="AK59" s="642"/>
      <c r="AL59" s="642"/>
      <c r="AM59" s="642"/>
      <c r="AN59" s="642"/>
      <c r="AO59" s="642"/>
      <c r="AP59" s="642"/>
      <c r="AQ59" s="642"/>
      <c r="AR59" s="642"/>
      <c r="AS59" s="642"/>
      <c r="AT59" s="642"/>
      <c r="AU59" s="642"/>
      <c r="AV59" s="642"/>
      <c r="AW59" s="642"/>
      <c r="AX59" s="642"/>
      <c r="AY59" s="642"/>
      <c r="AZ59" s="642"/>
      <c r="BA59" s="642"/>
      <c r="BB59" s="642"/>
      <c r="BC59" s="642"/>
      <c r="BD59" s="642"/>
      <c r="BE59" s="642"/>
      <c r="BF59" s="642"/>
      <c r="BG59" s="642"/>
      <c r="BH59" s="642"/>
      <c r="BI59" s="642"/>
      <c r="BJ59" s="642"/>
      <c r="BK59" s="642"/>
      <c r="BL59" s="642"/>
      <c r="BM59" s="642"/>
      <c r="BN59" s="642"/>
      <c r="BO59" s="642"/>
      <c r="BP59" s="642"/>
      <c r="BQ59" s="642"/>
      <c r="BR59" s="642"/>
      <c r="BS59" s="642"/>
      <c r="BT59" s="642"/>
      <c r="BU59" s="642"/>
      <c r="BV59" s="642"/>
      <c r="BW59" s="642"/>
      <c r="BX59" s="642"/>
      <c r="BY59" s="642"/>
      <c r="BZ59" s="642"/>
      <c r="CA59" s="642"/>
      <c r="CB59" s="642"/>
      <c r="CC59" s="642"/>
      <c r="CD59" s="642"/>
      <c r="CE59" s="642"/>
      <c r="CF59" s="642"/>
      <c r="CG59" s="642"/>
      <c r="CH59" s="642"/>
      <c r="CI59" s="642"/>
      <c r="CJ59" s="642"/>
      <c r="CK59" s="642"/>
      <c r="CL59" s="642"/>
      <c r="CM59" s="642"/>
      <c r="CN59" s="642"/>
      <c r="CO59" s="642"/>
      <c r="CP59" s="642"/>
      <c r="CQ59" s="642"/>
      <c r="CR59" s="642"/>
      <c r="CS59" s="642"/>
      <c r="CT59" s="642"/>
      <c r="CU59" s="642"/>
      <c r="CV59" s="642"/>
      <c r="CW59" s="642"/>
      <c r="CX59" s="642"/>
      <c r="CY59" s="642"/>
      <c r="CZ59" s="642"/>
      <c r="DA59" s="642"/>
      <c r="DB59" s="642"/>
      <c r="DC59" s="642"/>
      <c r="DD59" s="642"/>
      <c r="DE59" s="642"/>
      <c r="DF59" s="642"/>
      <c r="DG59" s="642"/>
      <c r="DH59" s="642"/>
      <c r="DI59" s="642"/>
      <c r="DJ59" s="642"/>
      <c r="DK59" s="642"/>
      <c r="DL59" s="642"/>
      <c r="DM59" s="642"/>
      <c r="DN59" s="642"/>
      <c r="DO59" s="642"/>
      <c r="DP59" s="642"/>
      <c r="DQ59" s="642"/>
      <c r="DR59" s="642"/>
      <c r="DS59" s="642"/>
      <c r="DT59" s="642"/>
      <c r="DU59" s="642"/>
    </row>
    <row r="60" spans="1:125" s="599" customFormat="1">
      <c r="A60" s="1348" t="s">
        <v>2482</v>
      </c>
      <c r="B60" s="1068" t="s">
        <v>483</v>
      </c>
      <c r="C60" s="1328"/>
      <c r="D60" s="737" t="s">
        <v>11</v>
      </c>
      <c r="E60" s="782">
        <v>1301</v>
      </c>
      <c r="F60" s="782">
        <v>652</v>
      </c>
      <c r="G60" s="782"/>
      <c r="H60" s="968"/>
      <c r="I60" s="968"/>
      <c r="J60" s="968"/>
      <c r="K60" s="968"/>
      <c r="L60" s="968"/>
      <c r="M60" s="968"/>
      <c r="N60" s="774">
        <f t="shared" si="11"/>
        <v>1953</v>
      </c>
      <c r="O60" s="771"/>
      <c r="P60" s="711">
        <f t="shared" si="5"/>
        <v>0</v>
      </c>
      <c r="Q60" s="642"/>
      <c r="R60" s="642"/>
      <c r="S60" s="642"/>
      <c r="T60" s="642"/>
      <c r="U60" s="642"/>
      <c r="V60" s="642"/>
      <c r="W60" s="642"/>
      <c r="X60" s="642"/>
      <c r="Y60" s="642"/>
      <c r="Z60" s="642"/>
      <c r="AA60" s="642"/>
      <c r="AB60" s="642"/>
      <c r="AC60" s="642"/>
      <c r="AD60" s="642"/>
      <c r="AE60" s="642"/>
      <c r="AF60" s="642"/>
      <c r="AG60" s="642"/>
      <c r="AH60" s="642"/>
      <c r="AI60" s="642"/>
      <c r="AJ60" s="642"/>
      <c r="AK60" s="642"/>
      <c r="AL60" s="642"/>
      <c r="AM60" s="642"/>
      <c r="AN60" s="642"/>
      <c r="AO60" s="642"/>
      <c r="AP60" s="642"/>
      <c r="AQ60" s="642"/>
      <c r="AR60" s="642"/>
      <c r="AS60" s="642"/>
      <c r="AT60" s="642"/>
      <c r="AU60" s="642"/>
      <c r="AV60" s="642"/>
      <c r="AW60" s="642"/>
      <c r="AX60" s="642"/>
      <c r="AY60" s="642"/>
      <c r="AZ60" s="642"/>
      <c r="BA60" s="642"/>
      <c r="BB60" s="642"/>
      <c r="BC60" s="642"/>
      <c r="BD60" s="642"/>
      <c r="BE60" s="642"/>
      <c r="BF60" s="642"/>
      <c r="BG60" s="642"/>
      <c r="BH60" s="642"/>
      <c r="BI60" s="642"/>
      <c r="BJ60" s="642"/>
      <c r="BK60" s="642"/>
      <c r="BL60" s="642"/>
      <c r="BM60" s="642"/>
      <c r="BN60" s="642"/>
      <c r="BO60" s="642"/>
      <c r="BP60" s="642"/>
      <c r="BQ60" s="642"/>
      <c r="BR60" s="642"/>
      <c r="BS60" s="642"/>
      <c r="BT60" s="642"/>
      <c r="BU60" s="642"/>
      <c r="BV60" s="642"/>
      <c r="BW60" s="642"/>
      <c r="BX60" s="642"/>
      <c r="BY60" s="642"/>
      <c r="BZ60" s="642"/>
      <c r="CA60" s="642"/>
      <c r="CB60" s="642"/>
      <c r="CC60" s="642"/>
      <c r="CD60" s="642"/>
      <c r="CE60" s="642"/>
      <c r="CF60" s="642"/>
      <c r="CG60" s="642"/>
      <c r="CH60" s="642"/>
      <c r="CI60" s="642"/>
      <c r="CJ60" s="642"/>
      <c r="CK60" s="642"/>
      <c r="CL60" s="642"/>
      <c r="CM60" s="642"/>
      <c r="CN60" s="642"/>
      <c r="CO60" s="642"/>
      <c r="CP60" s="642"/>
      <c r="CQ60" s="642"/>
      <c r="CR60" s="642"/>
      <c r="CS60" s="642"/>
      <c r="CT60" s="642"/>
      <c r="CU60" s="642"/>
      <c r="CV60" s="642"/>
      <c r="CW60" s="642"/>
      <c r="CX60" s="642"/>
      <c r="CY60" s="642"/>
      <c r="CZ60" s="642"/>
      <c r="DA60" s="642"/>
      <c r="DB60" s="642"/>
      <c r="DC60" s="642"/>
      <c r="DD60" s="642"/>
      <c r="DE60" s="642"/>
      <c r="DF60" s="642"/>
      <c r="DG60" s="642"/>
      <c r="DH60" s="642"/>
      <c r="DI60" s="642"/>
      <c r="DJ60" s="642"/>
      <c r="DK60" s="642"/>
      <c r="DL60" s="642"/>
      <c r="DM60" s="642"/>
      <c r="DN60" s="642"/>
      <c r="DO60" s="642"/>
      <c r="DP60" s="642"/>
      <c r="DQ60" s="642"/>
      <c r="DR60" s="642"/>
      <c r="DS60" s="642"/>
      <c r="DT60" s="642"/>
      <c r="DU60" s="642"/>
    </row>
    <row r="61" spans="1:125" s="599" customFormat="1">
      <c r="A61" s="1348" t="s">
        <v>2483</v>
      </c>
      <c r="B61" s="1068" t="s">
        <v>486</v>
      </c>
      <c r="C61" s="1328"/>
      <c r="D61" s="737" t="s">
        <v>11</v>
      </c>
      <c r="E61" s="782">
        <v>12</v>
      </c>
      <c r="F61" s="782">
        <v>36</v>
      </c>
      <c r="G61" s="782">
        <v>10</v>
      </c>
      <c r="H61" s="968"/>
      <c r="I61" s="968"/>
      <c r="J61" s="968"/>
      <c r="K61" s="968"/>
      <c r="L61" s="968"/>
      <c r="M61" s="968"/>
      <c r="N61" s="774">
        <f t="shared" si="11"/>
        <v>58</v>
      </c>
      <c r="O61" s="771"/>
      <c r="P61" s="711">
        <f t="shared" si="5"/>
        <v>0</v>
      </c>
      <c r="Q61" s="642"/>
      <c r="R61" s="642"/>
      <c r="S61" s="642"/>
      <c r="T61" s="642"/>
      <c r="U61" s="642"/>
      <c r="V61" s="642"/>
      <c r="W61" s="642"/>
      <c r="X61" s="642"/>
      <c r="Y61" s="642"/>
      <c r="Z61" s="642"/>
      <c r="AA61" s="642"/>
      <c r="AB61" s="642"/>
      <c r="AC61" s="642"/>
      <c r="AD61" s="642"/>
      <c r="AE61" s="642"/>
      <c r="AF61" s="642"/>
      <c r="AG61" s="642"/>
      <c r="AH61" s="642"/>
      <c r="AI61" s="642"/>
      <c r="AJ61" s="642"/>
      <c r="AK61" s="642"/>
      <c r="AL61" s="642"/>
      <c r="AM61" s="642"/>
      <c r="AN61" s="642"/>
      <c r="AO61" s="642"/>
      <c r="AP61" s="642"/>
      <c r="AQ61" s="642"/>
      <c r="AR61" s="642"/>
      <c r="AS61" s="642"/>
      <c r="AT61" s="642"/>
      <c r="AU61" s="642"/>
      <c r="AV61" s="642"/>
      <c r="AW61" s="642"/>
      <c r="AX61" s="642"/>
      <c r="AY61" s="642"/>
      <c r="AZ61" s="642"/>
      <c r="BA61" s="642"/>
      <c r="BB61" s="642"/>
      <c r="BC61" s="642"/>
      <c r="BD61" s="642"/>
      <c r="BE61" s="642"/>
      <c r="BF61" s="642"/>
      <c r="BG61" s="642"/>
      <c r="BH61" s="642"/>
      <c r="BI61" s="642"/>
      <c r="BJ61" s="642"/>
      <c r="BK61" s="642"/>
      <c r="BL61" s="642"/>
      <c r="BM61" s="642"/>
      <c r="BN61" s="642"/>
      <c r="BO61" s="642"/>
      <c r="BP61" s="642"/>
      <c r="BQ61" s="642"/>
      <c r="BR61" s="642"/>
      <c r="BS61" s="642"/>
      <c r="BT61" s="642"/>
      <c r="BU61" s="642"/>
      <c r="BV61" s="642"/>
      <c r="BW61" s="642"/>
      <c r="BX61" s="642"/>
      <c r="BY61" s="642"/>
      <c r="BZ61" s="642"/>
      <c r="CA61" s="642"/>
      <c r="CB61" s="642"/>
      <c r="CC61" s="642"/>
      <c r="CD61" s="642"/>
      <c r="CE61" s="642"/>
      <c r="CF61" s="642"/>
      <c r="CG61" s="642"/>
      <c r="CH61" s="642"/>
      <c r="CI61" s="642"/>
      <c r="CJ61" s="642"/>
      <c r="CK61" s="642"/>
      <c r="CL61" s="642"/>
      <c r="CM61" s="642"/>
      <c r="CN61" s="642"/>
      <c r="CO61" s="642"/>
      <c r="CP61" s="642"/>
      <c r="CQ61" s="642"/>
      <c r="CR61" s="642"/>
      <c r="CS61" s="642"/>
      <c r="CT61" s="642"/>
      <c r="CU61" s="642"/>
      <c r="CV61" s="642"/>
      <c r="CW61" s="642"/>
      <c r="CX61" s="642"/>
      <c r="CY61" s="642"/>
      <c r="CZ61" s="642"/>
      <c r="DA61" s="642"/>
      <c r="DB61" s="642"/>
      <c r="DC61" s="642"/>
      <c r="DD61" s="642"/>
      <c r="DE61" s="642"/>
      <c r="DF61" s="642"/>
      <c r="DG61" s="642"/>
      <c r="DH61" s="642"/>
      <c r="DI61" s="642"/>
      <c r="DJ61" s="642"/>
      <c r="DK61" s="642"/>
      <c r="DL61" s="642"/>
      <c r="DM61" s="642"/>
      <c r="DN61" s="642"/>
      <c r="DO61" s="642"/>
      <c r="DP61" s="642"/>
      <c r="DQ61" s="642"/>
      <c r="DR61" s="642"/>
      <c r="DS61" s="642"/>
      <c r="DT61" s="642"/>
      <c r="DU61" s="642"/>
    </row>
    <row r="62" spans="1:125" s="599" customFormat="1">
      <c r="A62" s="1348" t="s">
        <v>2484</v>
      </c>
      <c r="B62" s="1068" t="s">
        <v>487</v>
      </c>
      <c r="C62" s="1328"/>
      <c r="D62" s="737" t="s">
        <v>11</v>
      </c>
      <c r="E62" s="782">
        <v>54</v>
      </c>
      <c r="F62" s="782">
        <v>30</v>
      </c>
      <c r="G62" s="782">
        <v>4</v>
      </c>
      <c r="H62" s="968"/>
      <c r="I62" s="968"/>
      <c r="J62" s="968"/>
      <c r="K62" s="968"/>
      <c r="L62" s="968"/>
      <c r="M62" s="968"/>
      <c r="N62" s="774">
        <f t="shared" si="11"/>
        <v>88</v>
      </c>
      <c r="O62" s="771"/>
      <c r="P62" s="711">
        <f t="shared" si="5"/>
        <v>0</v>
      </c>
      <c r="Q62" s="642"/>
      <c r="R62" s="642"/>
      <c r="S62" s="642"/>
      <c r="T62" s="642"/>
      <c r="U62" s="642"/>
      <c r="V62" s="642"/>
      <c r="W62" s="642"/>
      <c r="X62" s="642"/>
      <c r="Y62" s="642"/>
      <c r="Z62" s="642"/>
      <c r="AA62" s="642"/>
      <c r="AB62" s="642"/>
      <c r="AC62" s="642"/>
      <c r="AD62" s="642"/>
      <c r="AE62" s="642"/>
      <c r="AF62" s="642"/>
      <c r="AG62" s="642"/>
      <c r="AH62" s="642"/>
      <c r="AI62" s="642"/>
      <c r="AJ62" s="642"/>
      <c r="AK62" s="642"/>
      <c r="AL62" s="642"/>
      <c r="AM62" s="642"/>
      <c r="AN62" s="642"/>
      <c r="AO62" s="642"/>
      <c r="AP62" s="642"/>
      <c r="AQ62" s="642"/>
      <c r="AR62" s="642"/>
      <c r="AS62" s="642"/>
      <c r="AT62" s="642"/>
      <c r="AU62" s="642"/>
      <c r="AV62" s="642"/>
      <c r="AW62" s="642"/>
      <c r="AX62" s="642"/>
      <c r="AY62" s="642"/>
      <c r="AZ62" s="642"/>
      <c r="BA62" s="642"/>
      <c r="BB62" s="642"/>
      <c r="BC62" s="642"/>
      <c r="BD62" s="642"/>
      <c r="BE62" s="642"/>
      <c r="BF62" s="642"/>
      <c r="BG62" s="642"/>
      <c r="BH62" s="642"/>
      <c r="BI62" s="642"/>
      <c r="BJ62" s="642"/>
      <c r="BK62" s="642"/>
      <c r="BL62" s="642"/>
      <c r="BM62" s="642"/>
      <c r="BN62" s="642"/>
      <c r="BO62" s="642"/>
      <c r="BP62" s="642"/>
      <c r="BQ62" s="642"/>
      <c r="BR62" s="642"/>
      <c r="BS62" s="642"/>
      <c r="BT62" s="642"/>
      <c r="BU62" s="642"/>
      <c r="BV62" s="642"/>
      <c r="BW62" s="642"/>
      <c r="BX62" s="642"/>
      <c r="BY62" s="642"/>
      <c r="BZ62" s="642"/>
      <c r="CA62" s="642"/>
      <c r="CB62" s="642"/>
      <c r="CC62" s="642"/>
      <c r="CD62" s="642"/>
      <c r="CE62" s="642"/>
      <c r="CF62" s="642"/>
      <c r="CG62" s="642"/>
      <c r="CH62" s="642"/>
      <c r="CI62" s="642"/>
      <c r="CJ62" s="642"/>
      <c r="CK62" s="642"/>
      <c r="CL62" s="642"/>
      <c r="CM62" s="642"/>
      <c r="CN62" s="642"/>
      <c r="CO62" s="642"/>
      <c r="CP62" s="642"/>
      <c r="CQ62" s="642"/>
      <c r="CR62" s="642"/>
      <c r="CS62" s="642"/>
      <c r="CT62" s="642"/>
      <c r="CU62" s="642"/>
      <c r="CV62" s="642"/>
      <c r="CW62" s="642"/>
      <c r="CX62" s="642"/>
      <c r="CY62" s="642"/>
      <c r="CZ62" s="642"/>
      <c r="DA62" s="642"/>
      <c r="DB62" s="642"/>
      <c r="DC62" s="642"/>
      <c r="DD62" s="642"/>
      <c r="DE62" s="642"/>
      <c r="DF62" s="642"/>
      <c r="DG62" s="642"/>
      <c r="DH62" s="642"/>
      <c r="DI62" s="642"/>
      <c r="DJ62" s="642"/>
      <c r="DK62" s="642"/>
      <c r="DL62" s="642"/>
      <c r="DM62" s="642"/>
      <c r="DN62" s="642"/>
      <c r="DO62" s="642"/>
      <c r="DP62" s="642"/>
      <c r="DQ62" s="642"/>
      <c r="DR62" s="642"/>
      <c r="DS62" s="642"/>
      <c r="DT62" s="642"/>
      <c r="DU62" s="642"/>
    </row>
    <row r="63" spans="1:125" s="599" customFormat="1">
      <c r="A63" s="1348" t="s">
        <v>2485</v>
      </c>
      <c r="B63" s="1068" t="s">
        <v>488</v>
      </c>
      <c r="C63" s="1328"/>
      <c r="D63" s="737" t="s">
        <v>11</v>
      </c>
      <c r="E63" s="782">
        <v>36</v>
      </c>
      <c r="F63" s="782">
        <v>12</v>
      </c>
      <c r="G63" s="782">
        <v>4</v>
      </c>
      <c r="H63" s="968"/>
      <c r="I63" s="968"/>
      <c r="J63" s="968"/>
      <c r="K63" s="968"/>
      <c r="L63" s="968"/>
      <c r="M63" s="968"/>
      <c r="N63" s="774">
        <f t="shared" si="11"/>
        <v>52</v>
      </c>
      <c r="O63" s="771"/>
      <c r="P63" s="711">
        <f t="shared" si="5"/>
        <v>0</v>
      </c>
      <c r="Q63" s="642"/>
      <c r="R63" s="642"/>
      <c r="S63" s="642"/>
      <c r="T63" s="642"/>
      <c r="U63" s="642"/>
      <c r="V63" s="642"/>
      <c r="W63" s="642"/>
      <c r="X63" s="642"/>
      <c r="Y63" s="642"/>
      <c r="Z63" s="642"/>
      <c r="AA63" s="642"/>
      <c r="AB63" s="642"/>
      <c r="AC63" s="642"/>
      <c r="AD63" s="642"/>
      <c r="AE63" s="642"/>
      <c r="AF63" s="642"/>
      <c r="AG63" s="642"/>
      <c r="AH63" s="642"/>
      <c r="AI63" s="642"/>
      <c r="AJ63" s="642"/>
      <c r="AK63" s="642"/>
      <c r="AL63" s="642"/>
      <c r="AM63" s="642"/>
      <c r="AN63" s="642"/>
      <c r="AO63" s="642"/>
      <c r="AP63" s="642"/>
      <c r="AQ63" s="642"/>
      <c r="AR63" s="642"/>
      <c r="AS63" s="642"/>
      <c r="AT63" s="642"/>
      <c r="AU63" s="642"/>
      <c r="AV63" s="642"/>
      <c r="AW63" s="642"/>
      <c r="AX63" s="642"/>
      <c r="AY63" s="642"/>
      <c r="AZ63" s="642"/>
      <c r="BA63" s="642"/>
      <c r="BB63" s="642"/>
      <c r="BC63" s="642"/>
      <c r="BD63" s="642"/>
      <c r="BE63" s="642"/>
      <c r="BF63" s="642"/>
      <c r="BG63" s="642"/>
      <c r="BH63" s="642"/>
      <c r="BI63" s="642"/>
      <c r="BJ63" s="642"/>
      <c r="BK63" s="642"/>
      <c r="BL63" s="642"/>
      <c r="BM63" s="642"/>
      <c r="BN63" s="642"/>
      <c r="BO63" s="642"/>
      <c r="BP63" s="642"/>
      <c r="BQ63" s="642"/>
      <c r="BR63" s="642"/>
      <c r="BS63" s="642"/>
      <c r="BT63" s="642"/>
      <c r="BU63" s="642"/>
      <c r="BV63" s="642"/>
      <c r="BW63" s="642"/>
      <c r="BX63" s="642"/>
      <c r="BY63" s="642"/>
      <c r="BZ63" s="642"/>
      <c r="CA63" s="642"/>
      <c r="CB63" s="642"/>
      <c r="CC63" s="642"/>
      <c r="CD63" s="642"/>
      <c r="CE63" s="642"/>
      <c r="CF63" s="642"/>
      <c r="CG63" s="642"/>
      <c r="CH63" s="642"/>
      <c r="CI63" s="642"/>
      <c r="CJ63" s="642"/>
      <c r="CK63" s="642"/>
      <c r="CL63" s="642"/>
      <c r="CM63" s="642"/>
      <c r="CN63" s="642"/>
      <c r="CO63" s="642"/>
      <c r="CP63" s="642"/>
      <c r="CQ63" s="642"/>
      <c r="CR63" s="642"/>
      <c r="CS63" s="642"/>
      <c r="CT63" s="642"/>
      <c r="CU63" s="642"/>
      <c r="CV63" s="642"/>
      <c r="CW63" s="642"/>
      <c r="CX63" s="642"/>
      <c r="CY63" s="642"/>
      <c r="CZ63" s="642"/>
      <c r="DA63" s="642"/>
      <c r="DB63" s="642"/>
      <c r="DC63" s="642"/>
      <c r="DD63" s="642"/>
      <c r="DE63" s="642"/>
      <c r="DF63" s="642"/>
      <c r="DG63" s="642"/>
      <c r="DH63" s="642"/>
      <c r="DI63" s="642"/>
      <c r="DJ63" s="642"/>
      <c r="DK63" s="642"/>
      <c r="DL63" s="642"/>
      <c r="DM63" s="642"/>
      <c r="DN63" s="642"/>
      <c r="DO63" s="642"/>
      <c r="DP63" s="642"/>
      <c r="DQ63" s="642"/>
      <c r="DR63" s="642"/>
      <c r="DS63" s="642"/>
      <c r="DT63" s="642"/>
      <c r="DU63" s="642"/>
    </row>
    <row r="64" spans="1:125" s="599" customFormat="1">
      <c r="A64" s="1348" t="s">
        <v>2486</v>
      </c>
      <c r="B64" s="1068" t="s">
        <v>489</v>
      </c>
      <c r="C64" s="1328"/>
      <c r="D64" s="737" t="s">
        <v>11</v>
      </c>
      <c r="E64" s="782">
        <v>6</v>
      </c>
      <c r="F64" s="782">
        <v>6</v>
      </c>
      <c r="G64" s="782" t="s">
        <v>532</v>
      </c>
      <c r="H64" s="968"/>
      <c r="I64" s="968"/>
      <c r="J64" s="968"/>
      <c r="K64" s="968"/>
      <c r="L64" s="968"/>
      <c r="M64" s="968"/>
      <c r="N64" s="774">
        <f t="shared" si="11"/>
        <v>12</v>
      </c>
      <c r="O64" s="771"/>
      <c r="P64" s="711">
        <f t="shared" ref="P64:P112" si="12">N64*O64</f>
        <v>0</v>
      </c>
      <c r="Q64" s="642"/>
      <c r="R64" s="642"/>
      <c r="S64" s="642"/>
      <c r="T64" s="642"/>
      <c r="U64" s="642"/>
      <c r="V64" s="642"/>
      <c r="W64" s="642"/>
      <c r="X64" s="642"/>
      <c r="Y64" s="642"/>
      <c r="Z64" s="642"/>
      <c r="AA64" s="642"/>
      <c r="AB64" s="642"/>
      <c r="AC64" s="642"/>
      <c r="AD64" s="642"/>
      <c r="AE64" s="642"/>
      <c r="AF64" s="642"/>
      <c r="AG64" s="642"/>
      <c r="AH64" s="642"/>
      <c r="AI64" s="642"/>
      <c r="AJ64" s="642"/>
      <c r="AK64" s="642"/>
      <c r="AL64" s="642"/>
      <c r="AM64" s="642"/>
      <c r="AN64" s="642"/>
      <c r="AO64" s="642"/>
      <c r="AP64" s="642"/>
      <c r="AQ64" s="642"/>
      <c r="AR64" s="642"/>
      <c r="AS64" s="642"/>
      <c r="AT64" s="642"/>
      <c r="AU64" s="642"/>
      <c r="AV64" s="642"/>
      <c r="AW64" s="642"/>
      <c r="AX64" s="642"/>
      <c r="AY64" s="642"/>
      <c r="AZ64" s="642"/>
      <c r="BA64" s="642"/>
      <c r="BB64" s="642"/>
      <c r="BC64" s="642"/>
      <c r="BD64" s="642"/>
      <c r="BE64" s="642"/>
      <c r="BF64" s="642"/>
      <c r="BG64" s="642"/>
      <c r="BH64" s="642"/>
      <c r="BI64" s="642"/>
      <c r="BJ64" s="642"/>
      <c r="BK64" s="642"/>
      <c r="BL64" s="642"/>
      <c r="BM64" s="642"/>
      <c r="BN64" s="642"/>
      <c r="BO64" s="642"/>
      <c r="BP64" s="642"/>
      <c r="BQ64" s="642"/>
      <c r="BR64" s="642"/>
      <c r="BS64" s="642"/>
      <c r="BT64" s="642"/>
      <c r="BU64" s="642"/>
      <c r="BV64" s="642"/>
      <c r="BW64" s="642"/>
      <c r="BX64" s="642"/>
      <c r="BY64" s="642"/>
      <c r="BZ64" s="642"/>
      <c r="CA64" s="642"/>
      <c r="CB64" s="642"/>
      <c r="CC64" s="642"/>
      <c r="CD64" s="642"/>
      <c r="CE64" s="642"/>
      <c r="CF64" s="642"/>
      <c r="CG64" s="642"/>
      <c r="CH64" s="642"/>
      <c r="CI64" s="642"/>
      <c r="CJ64" s="642"/>
      <c r="CK64" s="642"/>
      <c r="CL64" s="642"/>
      <c r="CM64" s="642"/>
      <c r="CN64" s="642"/>
      <c r="CO64" s="642"/>
      <c r="CP64" s="642"/>
      <c r="CQ64" s="642"/>
      <c r="CR64" s="642"/>
      <c r="CS64" s="642"/>
      <c r="CT64" s="642"/>
      <c r="CU64" s="642"/>
      <c r="CV64" s="642"/>
      <c r="CW64" s="642"/>
      <c r="CX64" s="642"/>
      <c r="CY64" s="642"/>
      <c r="CZ64" s="642"/>
      <c r="DA64" s="642"/>
      <c r="DB64" s="642"/>
      <c r="DC64" s="642"/>
      <c r="DD64" s="642"/>
      <c r="DE64" s="642"/>
      <c r="DF64" s="642"/>
      <c r="DG64" s="642"/>
      <c r="DH64" s="642"/>
      <c r="DI64" s="642"/>
      <c r="DJ64" s="642"/>
      <c r="DK64" s="642"/>
      <c r="DL64" s="642"/>
      <c r="DM64" s="642"/>
      <c r="DN64" s="642"/>
      <c r="DO64" s="642"/>
      <c r="DP64" s="642"/>
      <c r="DQ64" s="642"/>
      <c r="DR64" s="642"/>
      <c r="DS64" s="642"/>
      <c r="DT64" s="642"/>
      <c r="DU64" s="642"/>
    </row>
    <row r="65" spans="1:125" s="599" customFormat="1">
      <c r="A65" s="1348" t="s">
        <v>2487</v>
      </c>
      <c r="B65" s="1068" t="s">
        <v>490</v>
      </c>
      <c r="C65" s="1328"/>
      <c r="D65" s="737" t="s">
        <v>11</v>
      </c>
      <c r="E65" s="782">
        <v>6</v>
      </c>
      <c r="F65" s="782" t="s">
        <v>532</v>
      </c>
      <c r="G65" s="782">
        <v>4</v>
      </c>
      <c r="H65" s="968"/>
      <c r="I65" s="968"/>
      <c r="J65" s="968"/>
      <c r="K65" s="968"/>
      <c r="L65" s="968"/>
      <c r="M65" s="968"/>
      <c r="N65" s="774">
        <f t="shared" si="11"/>
        <v>10</v>
      </c>
      <c r="O65" s="771"/>
      <c r="P65" s="711">
        <f t="shared" si="12"/>
        <v>0</v>
      </c>
      <c r="Q65" s="642"/>
      <c r="R65" s="642"/>
      <c r="S65" s="642"/>
      <c r="T65" s="642"/>
      <c r="U65" s="642"/>
      <c r="V65" s="642"/>
      <c r="W65" s="642"/>
      <c r="X65" s="642"/>
      <c r="Y65" s="642"/>
      <c r="Z65" s="642"/>
      <c r="AA65" s="642"/>
      <c r="AB65" s="642"/>
      <c r="AC65" s="642"/>
      <c r="AD65" s="642"/>
      <c r="AE65" s="642"/>
      <c r="AF65" s="642"/>
      <c r="AG65" s="642"/>
      <c r="AH65" s="642"/>
      <c r="AI65" s="642"/>
      <c r="AJ65" s="642"/>
      <c r="AK65" s="642"/>
      <c r="AL65" s="642"/>
      <c r="AM65" s="642"/>
      <c r="AN65" s="642"/>
      <c r="AO65" s="642"/>
      <c r="AP65" s="642"/>
      <c r="AQ65" s="642"/>
      <c r="AR65" s="642"/>
      <c r="AS65" s="642"/>
      <c r="AT65" s="642"/>
      <c r="AU65" s="642"/>
      <c r="AV65" s="642"/>
      <c r="AW65" s="642"/>
      <c r="AX65" s="642"/>
      <c r="AY65" s="642"/>
      <c r="AZ65" s="642"/>
      <c r="BA65" s="642"/>
      <c r="BB65" s="642"/>
      <c r="BC65" s="642"/>
      <c r="BD65" s="642"/>
      <c r="BE65" s="642"/>
      <c r="BF65" s="642"/>
      <c r="BG65" s="642"/>
      <c r="BH65" s="642"/>
      <c r="BI65" s="642"/>
      <c r="BJ65" s="642"/>
      <c r="BK65" s="642"/>
      <c r="BL65" s="642"/>
      <c r="BM65" s="642"/>
      <c r="BN65" s="642"/>
      <c r="BO65" s="642"/>
      <c r="BP65" s="642"/>
      <c r="BQ65" s="642"/>
      <c r="BR65" s="642"/>
      <c r="BS65" s="642"/>
      <c r="BT65" s="642"/>
      <c r="BU65" s="642"/>
      <c r="BV65" s="642"/>
      <c r="BW65" s="642"/>
      <c r="BX65" s="642"/>
      <c r="BY65" s="642"/>
      <c r="BZ65" s="642"/>
      <c r="CA65" s="642"/>
      <c r="CB65" s="642"/>
      <c r="CC65" s="642"/>
      <c r="CD65" s="642"/>
      <c r="CE65" s="642"/>
      <c r="CF65" s="642"/>
      <c r="CG65" s="642"/>
      <c r="CH65" s="642"/>
      <c r="CI65" s="642"/>
      <c r="CJ65" s="642"/>
      <c r="CK65" s="642"/>
      <c r="CL65" s="642"/>
      <c r="CM65" s="642"/>
      <c r="CN65" s="642"/>
      <c r="CO65" s="642"/>
      <c r="CP65" s="642"/>
      <c r="CQ65" s="642"/>
      <c r="CR65" s="642"/>
      <c r="CS65" s="642"/>
      <c r="CT65" s="642"/>
      <c r="CU65" s="642"/>
      <c r="CV65" s="642"/>
      <c r="CW65" s="642"/>
      <c r="CX65" s="642"/>
      <c r="CY65" s="642"/>
      <c r="CZ65" s="642"/>
      <c r="DA65" s="642"/>
      <c r="DB65" s="642"/>
      <c r="DC65" s="642"/>
      <c r="DD65" s="642"/>
      <c r="DE65" s="642"/>
      <c r="DF65" s="642"/>
      <c r="DG65" s="642"/>
      <c r="DH65" s="642"/>
      <c r="DI65" s="642"/>
      <c r="DJ65" s="642"/>
      <c r="DK65" s="642"/>
      <c r="DL65" s="642"/>
      <c r="DM65" s="642"/>
      <c r="DN65" s="642"/>
      <c r="DO65" s="642"/>
      <c r="DP65" s="642"/>
      <c r="DQ65" s="642"/>
      <c r="DR65" s="642"/>
      <c r="DS65" s="642"/>
      <c r="DT65" s="642"/>
      <c r="DU65" s="642"/>
    </row>
    <row r="66" spans="1:125" s="599" customFormat="1">
      <c r="A66" s="958" t="s">
        <v>1340</v>
      </c>
      <c r="B66" s="946" t="s">
        <v>650</v>
      </c>
      <c r="C66" s="1328" t="s">
        <v>2276</v>
      </c>
      <c r="D66" s="737"/>
      <c r="E66" s="782"/>
      <c r="F66" s="782"/>
      <c r="G66" s="782"/>
      <c r="H66" s="968"/>
      <c r="I66" s="968"/>
      <c r="J66" s="968"/>
      <c r="K66" s="968"/>
      <c r="L66" s="968"/>
      <c r="M66" s="968"/>
      <c r="N66" s="774"/>
      <c r="O66" s="775"/>
      <c r="P66" s="711"/>
      <c r="Q66" s="642"/>
      <c r="R66" s="642"/>
      <c r="S66" s="642"/>
      <c r="T66" s="642"/>
      <c r="U66" s="642"/>
      <c r="V66" s="642"/>
      <c r="W66" s="642"/>
      <c r="X66" s="642"/>
      <c r="Y66" s="642"/>
      <c r="Z66" s="642"/>
      <c r="AA66" s="642"/>
      <c r="AB66" s="642"/>
      <c r="AC66" s="642"/>
      <c r="AD66" s="642"/>
      <c r="AE66" s="642"/>
      <c r="AF66" s="642"/>
      <c r="AG66" s="642"/>
      <c r="AH66" s="642"/>
      <c r="AI66" s="642"/>
      <c r="AJ66" s="642"/>
      <c r="AK66" s="642"/>
      <c r="AL66" s="642"/>
      <c r="AM66" s="642"/>
      <c r="AN66" s="642"/>
      <c r="AO66" s="642"/>
      <c r="AP66" s="642"/>
      <c r="AQ66" s="642"/>
      <c r="AR66" s="642"/>
      <c r="AS66" s="642"/>
      <c r="AT66" s="642"/>
      <c r="AU66" s="642"/>
      <c r="AV66" s="642"/>
      <c r="AW66" s="642"/>
      <c r="AX66" s="642"/>
      <c r="AY66" s="642"/>
      <c r="AZ66" s="642"/>
      <c r="BA66" s="642"/>
      <c r="BB66" s="642"/>
      <c r="BC66" s="642"/>
      <c r="BD66" s="642"/>
      <c r="BE66" s="642"/>
      <c r="BF66" s="642"/>
      <c r="BG66" s="642"/>
      <c r="BH66" s="642"/>
      <c r="BI66" s="642"/>
      <c r="BJ66" s="642"/>
      <c r="BK66" s="642"/>
      <c r="BL66" s="642"/>
      <c r="BM66" s="642"/>
      <c r="BN66" s="642"/>
      <c r="BO66" s="642"/>
      <c r="BP66" s="642"/>
      <c r="BQ66" s="642"/>
      <c r="BR66" s="642"/>
      <c r="BS66" s="642"/>
      <c r="BT66" s="642"/>
      <c r="BU66" s="642"/>
      <c r="BV66" s="642"/>
      <c r="BW66" s="642"/>
      <c r="BX66" s="642"/>
      <c r="BY66" s="642"/>
      <c r="BZ66" s="642"/>
      <c r="CA66" s="642"/>
      <c r="CB66" s="642"/>
      <c r="CC66" s="642"/>
      <c r="CD66" s="642"/>
      <c r="CE66" s="642"/>
      <c r="CF66" s="642"/>
      <c r="CG66" s="642"/>
      <c r="CH66" s="642"/>
      <c r="CI66" s="642"/>
      <c r="CJ66" s="642"/>
      <c r="CK66" s="642"/>
      <c r="CL66" s="642"/>
      <c r="CM66" s="642"/>
      <c r="CN66" s="642"/>
      <c r="CO66" s="642"/>
      <c r="CP66" s="642"/>
      <c r="CQ66" s="642"/>
      <c r="CR66" s="642"/>
      <c r="CS66" s="642"/>
      <c r="CT66" s="642"/>
      <c r="CU66" s="642"/>
      <c r="CV66" s="642"/>
      <c r="CW66" s="642"/>
      <c r="CX66" s="642"/>
      <c r="CY66" s="642"/>
      <c r="CZ66" s="642"/>
      <c r="DA66" s="642"/>
      <c r="DB66" s="642"/>
      <c r="DC66" s="642"/>
      <c r="DD66" s="642"/>
      <c r="DE66" s="642"/>
      <c r="DF66" s="642"/>
      <c r="DG66" s="642"/>
      <c r="DH66" s="642"/>
      <c r="DI66" s="642"/>
      <c r="DJ66" s="642"/>
      <c r="DK66" s="642"/>
      <c r="DL66" s="642"/>
      <c r="DM66" s="642"/>
      <c r="DN66" s="642"/>
      <c r="DO66" s="642"/>
      <c r="DP66" s="642"/>
      <c r="DQ66" s="642"/>
      <c r="DR66" s="642"/>
      <c r="DS66" s="642"/>
      <c r="DT66" s="642"/>
      <c r="DU66" s="642"/>
    </row>
    <row r="67" spans="1:125" s="599" customFormat="1">
      <c r="A67" s="714" t="s">
        <v>1341</v>
      </c>
      <c r="B67" s="1068" t="s">
        <v>484</v>
      </c>
      <c r="C67" s="1328"/>
      <c r="D67" s="737" t="s">
        <v>18</v>
      </c>
      <c r="E67" s="782">
        <v>76</v>
      </c>
      <c r="F67" s="782">
        <v>83</v>
      </c>
      <c r="G67" s="782">
        <v>35</v>
      </c>
      <c r="H67" s="968"/>
      <c r="I67" s="968"/>
      <c r="J67" s="968"/>
      <c r="K67" s="968"/>
      <c r="L67" s="968"/>
      <c r="M67" s="968"/>
      <c r="N67" s="774">
        <f>SUM(E67:M67)</f>
        <v>194</v>
      </c>
      <c r="O67" s="771"/>
      <c r="P67" s="711">
        <f t="shared" si="12"/>
        <v>0</v>
      </c>
      <c r="Q67" s="642"/>
      <c r="R67" s="642"/>
      <c r="S67" s="642"/>
      <c r="T67" s="642"/>
      <c r="U67" s="642"/>
      <c r="V67" s="642"/>
      <c r="W67" s="642"/>
      <c r="X67" s="642"/>
      <c r="Y67" s="642"/>
      <c r="Z67" s="642"/>
      <c r="AA67" s="642"/>
      <c r="AB67" s="642"/>
      <c r="AC67" s="642"/>
      <c r="AD67" s="642"/>
      <c r="AE67" s="642"/>
      <c r="AF67" s="642"/>
      <c r="AG67" s="642"/>
      <c r="AH67" s="642"/>
      <c r="AI67" s="642"/>
      <c r="AJ67" s="642"/>
      <c r="AK67" s="642"/>
      <c r="AL67" s="642"/>
      <c r="AM67" s="642"/>
      <c r="AN67" s="642"/>
      <c r="AO67" s="642"/>
      <c r="AP67" s="642"/>
      <c r="AQ67" s="642"/>
      <c r="AR67" s="642"/>
      <c r="AS67" s="642"/>
      <c r="AT67" s="642"/>
      <c r="AU67" s="642"/>
      <c r="AV67" s="642"/>
      <c r="AW67" s="642"/>
      <c r="AX67" s="642"/>
      <c r="AY67" s="642"/>
      <c r="AZ67" s="642"/>
      <c r="BA67" s="642"/>
      <c r="BB67" s="642"/>
      <c r="BC67" s="642"/>
      <c r="BD67" s="642"/>
      <c r="BE67" s="642"/>
      <c r="BF67" s="642"/>
      <c r="BG67" s="642"/>
      <c r="BH67" s="642"/>
      <c r="BI67" s="642"/>
      <c r="BJ67" s="642"/>
      <c r="BK67" s="642"/>
      <c r="BL67" s="642"/>
      <c r="BM67" s="642"/>
      <c r="BN67" s="642"/>
      <c r="BO67" s="642"/>
      <c r="BP67" s="642"/>
      <c r="BQ67" s="642"/>
      <c r="BR67" s="642"/>
      <c r="BS67" s="642"/>
      <c r="BT67" s="642"/>
      <c r="BU67" s="642"/>
      <c r="BV67" s="642"/>
      <c r="BW67" s="642"/>
      <c r="BX67" s="642"/>
      <c r="BY67" s="642"/>
      <c r="BZ67" s="642"/>
      <c r="CA67" s="642"/>
      <c r="CB67" s="642"/>
      <c r="CC67" s="642"/>
      <c r="CD67" s="642"/>
      <c r="CE67" s="642"/>
      <c r="CF67" s="642"/>
      <c r="CG67" s="642"/>
      <c r="CH67" s="642"/>
      <c r="CI67" s="642"/>
      <c r="CJ67" s="642"/>
      <c r="CK67" s="642"/>
      <c r="CL67" s="642"/>
      <c r="CM67" s="642"/>
      <c r="CN67" s="642"/>
      <c r="CO67" s="642"/>
      <c r="CP67" s="642"/>
      <c r="CQ67" s="642"/>
      <c r="CR67" s="642"/>
      <c r="CS67" s="642"/>
      <c r="CT67" s="642"/>
      <c r="CU67" s="642"/>
      <c r="CV67" s="642"/>
      <c r="CW67" s="642"/>
      <c r="CX67" s="642"/>
      <c r="CY67" s="642"/>
      <c r="CZ67" s="642"/>
      <c r="DA67" s="642"/>
      <c r="DB67" s="642"/>
      <c r="DC67" s="642"/>
      <c r="DD67" s="642"/>
      <c r="DE67" s="642"/>
      <c r="DF67" s="642"/>
      <c r="DG67" s="642"/>
      <c r="DH67" s="642"/>
      <c r="DI67" s="642"/>
      <c r="DJ67" s="642"/>
      <c r="DK67" s="642"/>
      <c r="DL67" s="642"/>
      <c r="DM67" s="642"/>
      <c r="DN67" s="642"/>
      <c r="DO67" s="642"/>
      <c r="DP67" s="642"/>
      <c r="DQ67" s="642"/>
      <c r="DR67" s="642"/>
      <c r="DS67" s="642"/>
      <c r="DT67" s="642"/>
      <c r="DU67" s="642"/>
    </row>
    <row r="68" spans="1:125" s="599" customFormat="1">
      <c r="A68" s="714" t="s">
        <v>1334</v>
      </c>
      <c r="B68" s="1068" t="s">
        <v>485</v>
      </c>
      <c r="C68" s="1328"/>
      <c r="D68" s="737" t="s">
        <v>18</v>
      </c>
      <c r="E68" s="782">
        <v>4</v>
      </c>
      <c r="F68" s="782">
        <v>2</v>
      </c>
      <c r="G68" s="782"/>
      <c r="H68" s="968"/>
      <c r="I68" s="968"/>
      <c r="J68" s="968"/>
      <c r="K68" s="968"/>
      <c r="L68" s="968"/>
      <c r="M68" s="968"/>
      <c r="N68" s="774">
        <f>SUM(E68:M68)</f>
        <v>6</v>
      </c>
      <c r="O68" s="771"/>
      <c r="P68" s="711">
        <f t="shared" si="12"/>
        <v>0</v>
      </c>
      <c r="Q68" s="642"/>
      <c r="R68" s="642"/>
      <c r="S68" s="642"/>
      <c r="T68" s="642"/>
      <c r="U68" s="642"/>
      <c r="V68" s="642"/>
      <c r="W68" s="642"/>
      <c r="X68" s="642"/>
      <c r="Y68" s="642"/>
      <c r="Z68" s="642"/>
      <c r="AA68" s="642"/>
      <c r="AB68" s="642"/>
      <c r="AC68" s="642"/>
      <c r="AD68" s="642"/>
      <c r="AE68" s="642"/>
      <c r="AF68" s="642"/>
      <c r="AG68" s="642"/>
      <c r="AH68" s="642"/>
      <c r="AI68" s="642"/>
      <c r="AJ68" s="642"/>
      <c r="AK68" s="642"/>
      <c r="AL68" s="642"/>
      <c r="AM68" s="642"/>
      <c r="AN68" s="642"/>
      <c r="AO68" s="642"/>
      <c r="AP68" s="642"/>
      <c r="AQ68" s="642"/>
      <c r="AR68" s="642"/>
      <c r="AS68" s="642"/>
      <c r="AT68" s="642"/>
      <c r="AU68" s="642"/>
      <c r="AV68" s="642"/>
      <c r="AW68" s="642"/>
      <c r="AX68" s="642"/>
      <c r="AY68" s="642"/>
      <c r="AZ68" s="642"/>
      <c r="BA68" s="642"/>
      <c r="BB68" s="642"/>
      <c r="BC68" s="642"/>
      <c r="BD68" s="642"/>
      <c r="BE68" s="642"/>
      <c r="BF68" s="642"/>
      <c r="BG68" s="642"/>
      <c r="BH68" s="642"/>
      <c r="BI68" s="642"/>
      <c r="BJ68" s="642"/>
      <c r="BK68" s="642"/>
      <c r="BL68" s="642"/>
      <c r="BM68" s="642"/>
      <c r="BN68" s="642"/>
      <c r="BO68" s="642"/>
      <c r="BP68" s="642"/>
      <c r="BQ68" s="642"/>
      <c r="BR68" s="642"/>
      <c r="BS68" s="642"/>
      <c r="BT68" s="642"/>
      <c r="BU68" s="642"/>
      <c r="BV68" s="642"/>
      <c r="BW68" s="642"/>
      <c r="BX68" s="642"/>
      <c r="BY68" s="642"/>
      <c r="BZ68" s="642"/>
      <c r="CA68" s="642"/>
      <c r="CB68" s="642"/>
      <c r="CC68" s="642"/>
      <c r="CD68" s="642"/>
      <c r="CE68" s="642"/>
      <c r="CF68" s="642"/>
      <c r="CG68" s="642"/>
      <c r="CH68" s="642"/>
      <c r="CI68" s="642"/>
      <c r="CJ68" s="642"/>
      <c r="CK68" s="642"/>
      <c r="CL68" s="642"/>
      <c r="CM68" s="642"/>
      <c r="CN68" s="642"/>
      <c r="CO68" s="642"/>
      <c r="CP68" s="642"/>
      <c r="CQ68" s="642"/>
      <c r="CR68" s="642"/>
      <c r="CS68" s="642"/>
      <c r="CT68" s="642"/>
      <c r="CU68" s="642"/>
      <c r="CV68" s="642"/>
      <c r="CW68" s="642"/>
      <c r="CX68" s="642"/>
      <c r="CY68" s="642"/>
      <c r="CZ68" s="642"/>
      <c r="DA68" s="642"/>
      <c r="DB68" s="642"/>
      <c r="DC68" s="642"/>
      <c r="DD68" s="642"/>
      <c r="DE68" s="642"/>
      <c r="DF68" s="642"/>
      <c r="DG68" s="642"/>
      <c r="DH68" s="642"/>
      <c r="DI68" s="642"/>
      <c r="DJ68" s="642"/>
      <c r="DK68" s="642"/>
      <c r="DL68" s="642"/>
      <c r="DM68" s="642"/>
      <c r="DN68" s="642"/>
      <c r="DO68" s="642"/>
      <c r="DP68" s="642"/>
      <c r="DQ68" s="642"/>
      <c r="DR68" s="642"/>
      <c r="DS68" s="642"/>
      <c r="DT68" s="642"/>
      <c r="DU68" s="642"/>
    </row>
    <row r="69" spans="1:125" s="599" customFormat="1">
      <c r="A69" s="958" t="s">
        <v>2488</v>
      </c>
      <c r="B69" s="946" t="s">
        <v>539</v>
      </c>
      <c r="C69" s="1328" t="s">
        <v>386</v>
      </c>
      <c r="D69" s="737"/>
      <c r="E69" s="782"/>
      <c r="F69" s="782"/>
      <c r="G69" s="782"/>
      <c r="H69" s="968"/>
      <c r="I69" s="968"/>
      <c r="J69" s="968"/>
      <c r="K69" s="968"/>
      <c r="L69" s="968"/>
      <c r="M69" s="968"/>
      <c r="N69" s="774"/>
      <c r="O69" s="775"/>
      <c r="P69" s="711"/>
      <c r="Q69" s="642"/>
      <c r="R69" s="642"/>
      <c r="S69" s="642"/>
      <c r="T69" s="642"/>
      <c r="U69" s="642"/>
      <c r="V69" s="642"/>
      <c r="W69" s="642"/>
      <c r="X69" s="642"/>
      <c r="Y69" s="642"/>
      <c r="Z69" s="642"/>
      <c r="AA69" s="642"/>
      <c r="AB69" s="642"/>
      <c r="AC69" s="642"/>
      <c r="AD69" s="642"/>
      <c r="AE69" s="642"/>
      <c r="AF69" s="642"/>
      <c r="AG69" s="642"/>
      <c r="AH69" s="642"/>
      <c r="AI69" s="642"/>
      <c r="AJ69" s="642"/>
      <c r="AK69" s="642"/>
      <c r="AL69" s="642"/>
      <c r="AM69" s="642"/>
      <c r="AN69" s="642"/>
      <c r="AO69" s="642"/>
      <c r="AP69" s="642"/>
      <c r="AQ69" s="642"/>
      <c r="AR69" s="642"/>
      <c r="AS69" s="642"/>
      <c r="AT69" s="642"/>
      <c r="AU69" s="642"/>
      <c r="AV69" s="642"/>
      <c r="AW69" s="642"/>
      <c r="AX69" s="642"/>
      <c r="AY69" s="642"/>
      <c r="AZ69" s="642"/>
      <c r="BA69" s="642"/>
      <c r="BB69" s="642"/>
      <c r="BC69" s="642"/>
      <c r="BD69" s="642"/>
      <c r="BE69" s="642"/>
      <c r="BF69" s="642"/>
      <c r="BG69" s="642"/>
      <c r="BH69" s="642"/>
      <c r="BI69" s="642"/>
      <c r="BJ69" s="642"/>
      <c r="BK69" s="642"/>
      <c r="BL69" s="642"/>
      <c r="BM69" s="642"/>
      <c r="BN69" s="642"/>
      <c r="BO69" s="642"/>
      <c r="BP69" s="642"/>
      <c r="BQ69" s="642"/>
      <c r="BR69" s="642"/>
      <c r="BS69" s="642"/>
      <c r="BT69" s="642"/>
      <c r="BU69" s="642"/>
      <c r="BV69" s="642"/>
      <c r="BW69" s="642"/>
      <c r="BX69" s="642"/>
      <c r="BY69" s="642"/>
      <c r="BZ69" s="642"/>
      <c r="CA69" s="642"/>
      <c r="CB69" s="642"/>
      <c r="CC69" s="642"/>
      <c r="CD69" s="642"/>
      <c r="CE69" s="642"/>
      <c r="CF69" s="642"/>
      <c r="CG69" s="642"/>
      <c r="CH69" s="642"/>
      <c r="CI69" s="642"/>
      <c r="CJ69" s="642"/>
      <c r="CK69" s="642"/>
      <c r="CL69" s="642"/>
      <c r="CM69" s="642"/>
      <c r="CN69" s="642"/>
      <c r="CO69" s="642"/>
      <c r="CP69" s="642"/>
      <c r="CQ69" s="642"/>
      <c r="CR69" s="642"/>
      <c r="CS69" s="642"/>
      <c r="CT69" s="642"/>
      <c r="CU69" s="642"/>
      <c r="CV69" s="642"/>
      <c r="CW69" s="642"/>
      <c r="CX69" s="642"/>
      <c r="CY69" s="642"/>
      <c r="CZ69" s="642"/>
      <c r="DA69" s="642"/>
      <c r="DB69" s="642"/>
      <c r="DC69" s="642"/>
      <c r="DD69" s="642"/>
      <c r="DE69" s="642"/>
      <c r="DF69" s="642"/>
      <c r="DG69" s="642"/>
      <c r="DH69" s="642"/>
      <c r="DI69" s="642"/>
      <c r="DJ69" s="642"/>
      <c r="DK69" s="642"/>
      <c r="DL69" s="642"/>
      <c r="DM69" s="642"/>
      <c r="DN69" s="642"/>
      <c r="DO69" s="642"/>
      <c r="DP69" s="642"/>
      <c r="DQ69" s="642"/>
      <c r="DR69" s="642"/>
      <c r="DS69" s="642"/>
      <c r="DT69" s="642"/>
      <c r="DU69" s="642"/>
    </row>
    <row r="70" spans="1:125" s="598" customFormat="1" ht="15.75">
      <c r="A70" s="714" t="s">
        <v>2489</v>
      </c>
      <c r="B70" s="1068" t="s">
        <v>560</v>
      </c>
      <c r="C70" s="1327"/>
      <c r="D70" s="737" t="s">
        <v>351</v>
      </c>
      <c r="E70" s="782">
        <v>200</v>
      </c>
      <c r="F70" s="782">
        <v>200</v>
      </c>
      <c r="G70" s="782">
        <v>100</v>
      </c>
      <c r="H70" s="968">
        <v>150</v>
      </c>
      <c r="I70" s="968">
        <v>100</v>
      </c>
      <c r="J70" s="968">
        <v>1329</v>
      </c>
      <c r="K70" s="968">
        <v>100</v>
      </c>
      <c r="L70" s="968">
        <v>100</v>
      </c>
      <c r="M70" s="968">
        <v>600</v>
      </c>
      <c r="N70" s="774">
        <f>SUM(E70:M70)</f>
        <v>2879</v>
      </c>
      <c r="O70" s="771"/>
      <c r="P70" s="711">
        <f t="shared" si="12"/>
        <v>0</v>
      </c>
      <c r="Q70" s="1321"/>
      <c r="R70" s="1321"/>
      <c r="S70" s="1321"/>
      <c r="T70" s="1321"/>
      <c r="U70" s="1321"/>
      <c r="V70" s="1321"/>
      <c r="W70" s="1321"/>
      <c r="X70" s="1321"/>
      <c r="Y70" s="1321"/>
      <c r="Z70" s="1321"/>
      <c r="AA70" s="1321"/>
      <c r="AB70" s="1321"/>
      <c r="AC70" s="1321"/>
      <c r="AD70" s="1321"/>
      <c r="AE70" s="1321"/>
      <c r="AF70" s="1321"/>
      <c r="AG70" s="1321"/>
      <c r="AH70" s="1321"/>
      <c r="AI70" s="1321"/>
      <c r="AJ70" s="1321"/>
      <c r="AK70" s="1321"/>
      <c r="AL70" s="1321"/>
      <c r="AM70" s="1321"/>
      <c r="AN70" s="1321"/>
      <c r="AO70" s="1321"/>
      <c r="AP70" s="1321"/>
      <c r="AQ70" s="1321"/>
      <c r="AR70" s="1321"/>
      <c r="AS70" s="1321"/>
      <c r="AT70" s="1321"/>
      <c r="AU70" s="1321"/>
      <c r="AV70" s="1321"/>
      <c r="AW70" s="1321"/>
      <c r="AX70" s="1321"/>
      <c r="AY70" s="1321"/>
      <c r="AZ70" s="1321"/>
      <c r="BA70" s="1321"/>
      <c r="BB70" s="1321"/>
      <c r="BC70" s="1321"/>
      <c r="BD70" s="1321"/>
      <c r="BE70" s="1321"/>
      <c r="BF70" s="1321"/>
      <c r="BG70" s="1321"/>
      <c r="BH70" s="1321"/>
      <c r="BI70" s="1321"/>
      <c r="BJ70" s="1321"/>
      <c r="BK70" s="1321"/>
      <c r="BL70" s="1321"/>
      <c r="BM70" s="1321"/>
      <c r="BN70" s="1321"/>
      <c r="BO70" s="1321"/>
      <c r="BP70" s="1321"/>
      <c r="BQ70" s="1321"/>
      <c r="BR70" s="1321"/>
      <c r="BS70" s="1321"/>
      <c r="BT70" s="1321"/>
      <c r="BU70" s="1321"/>
      <c r="BV70" s="1321"/>
      <c r="BW70" s="1321"/>
      <c r="BX70" s="1321"/>
      <c r="BY70" s="1321"/>
      <c r="BZ70" s="1321"/>
      <c r="CA70" s="1321"/>
      <c r="CB70" s="1321"/>
      <c r="CC70" s="1321"/>
      <c r="CD70" s="1321"/>
      <c r="CE70" s="1321"/>
      <c r="CF70" s="1321"/>
      <c r="CG70" s="1321"/>
      <c r="CH70" s="1321"/>
      <c r="CI70" s="1321"/>
      <c r="CJ70" s="1321"/>
      <c r="CK70" s="1321"/>
      <c r="CL70" s="1321"/>
      <c r="CM70" s="1321"/>
      <c r="CN70" s="1321"/>
      <c r="CO70" s="1321"/>
      <c r="CP70" s="1321"/>
      <c r="CQ70" s="1321"/>
      <c r="CR70" s="1321"/>
      <c r="CS70" s="1321"/>
      <c r="CT70" s="1321"/>
      <c r="CU70" s="1321"/>
      <c r="CV70" s="1321"/>
      <c r="CW70" s="1321"/>
      <c r="CX70" s="1321"/>
      <c r="CY70" s="1321"/>
      <c r="CZ70" s="1321"/>
      <c r="DA70" s="1321"/>
      <c r="DB70" s="1321"/>
      <c r="DC70" s="1321"/>
      <c r="DD70" s="1321"/>
      <c r="DE70" s="1321"/>
      <c r="DF70" s="1321"/>
      <c r="DG70" s="1321"/>
      <c r="DH70" s="1321"/>
      <c r="DI70" s="1321"/>
      <c r="DJ70" s="1321"/>
      <c r="DK70" s="1321"/>
      <c r="DL70" s="1321"/>
      <c r="DM70" s="1321"/>
      <c r="DN70" s="1321"/>
      <c r="DO70" s="1321"/>
      <c r="DP70" s="1321"/>
      <c r="DQ70" s="1321"/>
      <c r="DR70" s="1321"/>
      <c r="DS70" s="1321"/>
      <c r="DT70" s="1321"/>
      <c r="DU70" s="1321"/>
    </row>
    <row r="71" spans="1:125" s="595" customFormat="1">
      <c r="A71" s="1348" t="s">
        <v>2490</v>
      </c>
      <c r="B71" s="1068" t="s">
        <v>561</v>
      </c>
      <c r="C71" s="1327"/>
      <c r="D71" s="737" t="s">
        <v>18</v>
      </c>
      <c r="E71" s="782">
        <v>5</v>
      </c>
      <c r="F71" s="782">
        <v>10</v>
      </c>
      <c r="G71" s="782">
        <v>5</v>
      </c>
      <c r="H71" s="968">
        <v>5</v>
      </c>
      <c r="I71" s="968"/>
      <c r="J71" s="968">
        <v>5</v>
      </c>
      <c r="K71" s="968">
        <v>15</v>
      </c>
      <c r="L71" s="968">
        <v>15</v>
      </c>
      <c r="M71" s="968">
        <v>20</v>
      </c>
      <c r="N71" s="774">
        <f>SUM(E71:M71)</f>
        <v>80</v>
      </c>
      <c r="O71" s="771"/>
      <c r="P71" s="711">
        <f t="shared" si="12"/>
        <v>0</v>
      </c>
      <c r="Q71" s="680"/>
      <c r="R71" s="680"/>
      <c r="S71" s="680"/>
      <c r="T71" s="680"/>
      <c r="U71" s="680"/>
      <c r="V71" s="680"/>
      <c r="W71" s="680"/>
      <c r="X71" s="680"/>
      <c r="Y71" s="680"/>
      <c r="Z71" s="680"/>
      <c r="AA71" s="680"/>
      <c r="AB71" s="680"/>
      <c r="AC71" s="680"/>
      <c r="AD71" s="680"/>
      <c r="AE71" s="680"/>
      <c r="AF71" s="680"/>
      <c r="AG71" s="680"/>
      <c r="AH71" s="680"/>
      <c r="AI71" s="680"/>
      <c r="AJ71" s="680"/>
      <c r="AK71" s="680"/>
      <c r="AL71" s="680"/>
      <c r="AM71" s="680"/>
      <c r="AN71" s="680"/>
      <c r="AO71" s="680"/>
      <c r="AP71" s="680"/>
      <c r="AQ71" s="680"/>
      <c r="AR71" s="680"/>
      <c r="AS71" s="680"/>
      <c r="AT71" s="680"/>
      <c r="AU71" s="680"/>
      <c r="AV71" s="680"/>
      <c r="AW71" s="680"/>
      <c r="AX71" s="680"/>
      <c r="AY71" s="680"/>
      <c r="AZ71" s="680"/>
      <c r="BA71" s="680"/>
      <c r="BB71" s="680"/>
      <c r="BC71" s="680"/>
      <c r="BD71" s="680"/>
      <c r="BE71" s="680"/>
      <c r="BF71" s="680"/>
      <c r="BG71" s="680"/>
      <c r="BH71" s="680"/>
      <c r="BI71" s="680"/>
      <c r="BJ71" s="680"/>
      <c r="BK71" s="680"/>
      <c r="BL71" s="680"/>
      <c r="BM71" s="680"/>
      <c r="BN71" s="680"/>
      <c r="BO71" s="680"/>
      <c r="BP71" s="680"/>
      <c r="BQ71" s="680"/>
      <c r="BR71" s="680"/>
      <c r="BS71" s="680"/>
      <c r="BT71" s="680"/>
      <c r="BU71" s="680"/>
      <c r="BV71" s="680"/>
      <c r="BW71" s="680"/>
      <c r="BX71" s="680"/>
      <c r="BY71" s="680"/>
      <c r="BZ71" s="680"/>
      <c r="CA71" s="680"/>
      <c r="CB71" s="680"/>
      <c r="CC71" s="680"/>
      <c r="CD71" s="680"/>
      <c r="CE71" s="680"/>
      <c r="CF71" s="680"/>
      <c r="CG71" s="680"/>
      <c r="CH71" s="680"/>
      <c r="CI71" s="680"/>
      <c r="CJ71" s="680"/>
      <c r="CK71" s="680"/>
      <c r="CL71" s="680"/>
      <c r="CM71" s="680"/>
      <c r="CN71" s="680"/>
      <c r="CO71" s="680"/>
      <c r="CP71" s="680"/>
      <c r="CQ71" s="680"/>
      <c r="CR71" s="680"/>
      <c r="CS71" s="680"/>
      <c r="CT71" s="680"/>
      <c r="CU71" s="680"/>
      <c r="CV71" s="680"/>
      <c r="CW71" s="680"/>
      <c r="CX71" s="680"/>
      <c r="CY71" s="680"/>
      <c r="CZ71" s="680"/>
      <c r="DA71" s="680"/>
      <c r="DB71" s="680"/>
      <c r="DC71" s="680"/>
      <c r="DD71" s="680"/>
      <c r="DE71" s="680"/>
      <c r="DF71" s="680"/>
      <c r="DG71" s="680"/>
      <c r="DH71" s="680"/>
      <c r="DI71" s="680"/>
      <c r="DJ71" s="680"/>
      <c r="DK71" s="680"/>
      <c r="DL71" s="680"/>
      <c r="DM71" s="680"/>
      <c r="DN71" s="680"/>
      <c r="DO71" s="680"/>
      <c r="DP71" s="680"/>
      <c r="DQ71" s="680"/>
      <c r="DR71" s="680"/>
      <c r="DS71" s="680"/>
      <c r="DT71" s="680"/>
      <c r="DU71" s="680"/>
    </row>
    <row r="72" spans="1:125" s="595" customFormat="1">
      <c r="A72" s="1348" t="s">
        <v>2491</v>
      </c>
      <c r="B72" s="1068" t="s">
        <v>444</v>
      </c>
      <c r="C72" s="1327"/>
      <c r="D72" s="737" t="s">
        <v>18</v>
      </c>
      <c r="E72" s="782">
        <v>5</v>
      </c>
      <c r="F72" s="782">
        <v>20</v>
      </c>
      <c r="G72" s="782">
        <v>1</v>
      </c>
      <c r="H72" s="968">
        <v>5</v>
      </c>
      <c r="I72" s="968"/>
      <c r="J72" s="968">
        <v>0</v>
      </c>
      <c r="K72" s="968">
        <v>5</v>
      </c>
      <c r="L72" s="968">
        <v>5</v>
      </c>
      <c r="M72" s="968">
        <v>8</v>
      </c>
      <c r="N72" s="774">
        <f>SUM(E72:M72)</f>
        <v>49</v>
      </c>
      <c r="O72" s="771"/>
      <c r="P72" s="711">
        <f t="shared" si="12"/>
        <v>0</v>
      </c>
      <c r="Q72" s="680"/>
      <c r="R72" s="680"/>
      <c r="S72" s="680"/>
      <c r="T72" s="680"/>
      <c r="U72" s="680"/>
      <c r="V72" s="680"/>
      <c r="W72" s="680"/>
      <c r="X72" s="680"/>
      <c r="Y72" s="680"/>
      <c r="Z72" s="680"/>
      <c r="AA72" s="680"/>
      <c r="AB72" s="680"/>
      <c r="AC72" s="680"/>
      <c r="AD72" s="680"/>
      <c r="AE72" s="680"/>
      <c r="AF72" s="680"/>
      <c r="AG72" s="680"/>
      <c r="AH72" s="680"/>
      <c r="AI72" s="680"/>
      <c r="AJ72" s="680"/>
      <c r="AK72" s="680"/>
      <c r="AL72" s="680"/>
      <c r="AM72" s="680"/>
      <c r="AN72" s="680"/>
      <c r="AO72" s="680"/>
      <c r="AP72" s="680"/>
      <c r="AQ72" s="680"/>
      <c r="AR72" s="680"/>
      <c r="AS72" s="680"/>
      <c r="AT72" s="680"/>
      <c r="AU72" s="680"/>
      <c r="AV72" s="680"/>
      <c r="AW72" s="680"/>
      <c r="AX72" s="680"/>
      <c r="AY72" s="680"/>
      <c r="AZ72" s="680"/>
      <c r="BA72" s="680"/>
      <c r="BB72" s="680"/>
      <c r="BC72" s="680"/>
      <c r="BD72" s="680"/>
      <c r="BE72" s="680"/>
      <c r="BF72" s="680"/>
      <c r="BG72" s="680"/>
      <c r="BH72" s="680"/>
      <c r="BI72" s="680"/>
      <c r="BJ72" s="680"/>
      <c r="BK72" s="680"/>
      <c r="BL72" s="680"/>
      <c r="BM72" s="680"/>
      <c r="BN72" s="680"/>
      <c r="BO72" s="680"/>
      <c r="BP72" s="680"/>
      <c r="BQ72" s="680"/>
      <c r="BR72" s="680"/>
      <c r="BS72" s="680"/>
      <c r="BT72" s="680"/>
      <c r="BU72" s="680"/>
      <c r="BV72" s="680"/>
      <c r="BW72" s="680"/>
      <c r="BX72" s="680"/>
      <c r="BY72" s="680"/>
      <c r="BZ72" s="680"/>
      <c r="CA72" s="680"/>
      <c r="CB72" s="680"/>
      <c r="CC72" s="680"/>
      <c r="CD72" s="680"/>
      <c r="CE72" s="680"/>
      <c r="CF72" s="680"/>
      <c r="CG72" s="680"/>
      <c r="CH72" s="680"/>
      <c r="CI72" s="680"/>
      <c r="CJ72" s="680"/>
      <c r="CK72" s="680"/>
      <c r="CL72" s="680"/>
      <c r="CM72" s="680"/>
      <c r="CN72" s="680"/>
      <c r="CO72" s="680"/>
      <c r="CP72" s="680"/>
      <c r="CQ72" s="680"/>
      <c r="CR72" s="680"/>
      <c r="CS72" s="680"/>
      <c r="CT72" s="680"/>
      <c r="CU72" s="680"/>
      <c r="CV72" s="680"/>
      <c r="CW72" s="680"/>
      <c r="CX72" s="680"/>
      <c r="CY72" s="680"/>
      <c r="CZ72" s="680"/>
      <c r="DA72" s="680"/>
      <c r="DB72" s="680"/>
      <c r="DC72" s="680"/>
      <c r="DD72" s="680"/>
      <c r="DE72" s="680"/>
      <c r="DF72" s="680"/>
      <c r="DG72" s="680"/>
      <c r="DH72" s="680"/>
      <c r="DI72" s="680"/>
      <c r="DJ72" s="680"/>
      <c r="DK72" s="680"/>
      <c r="DL72" s="680"/>
      <c r="DM72" s="680"/>
      <c r="DN72" s="680"/>
      <c r="DO72" s="680"/>
      <c r="DP72" s="680"/>
      <c r="DQ72" s="680"/>
      <c r="DR72" s="680"/>
      <c r="DS72" s="680"/>
      <c r="DT72" s="680"/>
      <c r="DU72" s="680"/>
    </row>
    <row r="73" spans="1:125" s="595" customFormat="1">
      <c r="A73" s="1348" t="s">
        <v>2492</v>
      </c>
      <c r="B73" s="1068" t="s">
        <v>540</v>
      </c>
      <c r="C73" s="1327"/>
      <c r="D73" s="737" t="s">
        <v>18</v>
      </c>
      <c r="E73" s="782">
        <v>1</v>
      </c>
      <c r="F73" s="782">
        <v>1</v>
      </c>
      <c r="G73" s="782">
        <v>1</v>
      </c>
      <c r="H73" s="968"/>
      <c r="I73" s="968"/>
      <c r="J73" s="968"/>
      <c r="K73" s="968">
        <v>3</v>
      </c>
      <c r="L73" s="968">
        <v>3</v>
      </c>
      <c r="M73" s="968" t="s">
        <v>532</v>
      </c>
      <c r="N73" s="774">
        <f>SUM(E73:M73)</f>
        <v>9</v>
      </c>
      <c r="O73" s="771"/>
      <c r="P73" s="711">
        <f t="shared" si="12"/>
        <v>0</v>
      </c>
      <c r="Q73" s="680"/>
      <c r="R73" s="680"/>
      <c r="S73" s="680"/>
      <c r="T73" s="680"/>
      <c r="U73" s="680"/>
      <c r="V73" s="680"/>
      <c r="W73" s="680"/>
      <c r="X73" s="680"/>
      <c r="Y73" s="680"/>
      <c r="Z73" s="680"/>
      <c r="AA73" s="680"/>
      <c r="AB73" s="680"/>
      <c r="AC73" s="680"/>
      <c r="AD73" s="680"/>
      <c r="AE73" s="680"/>
      <c r="AF73" s="680"/>
      <c r="AG73" s="680"/>
      <c r="AH73" s="680"/>
      <c r="AI73" s="680"/>
      <c r="AJ73" s="680"/>
      <c r="AK73" s="680"/>
      <c r="AL73" s="680"/>
      <c r="AM73" s="680"/>
      <c r="AN73" s="680"/>
      <c r="AO73" s="680"/>
      <c r="AP73" s="680"/>
      <c r="AQ73" s="680"/>
      <c r="AR73" s="680"/>
      <c r="AS73" s="680"/>
      <c r="AT73" s="680"/>
      <c r="AU73" s="680"/>
      <c r="AV73" s="680"/>
      <c r="AW73" s="680"/>
      <c r="AX73" s="680"/>
      <c r="AY73" s="680"/>
      <c r="AZ73" s="680"/>
      <c r="BA73" s="680"/>
      <c r="BB73" s="680"/>
      <c r="BC73" s="680"/>
      <c r="BD73" s="680"/>
      <c r="BE73" s="680"/>
      <c r="BF73" s="680"/>
      <c r="BG73" s="680"/>
      <c r="BH73" s="680"/>
      <c r="BI73" s="680"/>
      <c r="BJ73" s="680"/>
      <c r="BK73" s="680"/>
      <c r="BL73" s="680"/>
      <c r="BM73" s="680"/>
      <c r="BN73" s="680"/>
      <c r="BO73" s="680"/>
      <c r="BP73" s="680"/>
      <c r="BQ73" s="680"/>
      <c r="BR73" s="680"/>
      <c r="BS73" s="680"/>
      <c r="BT73" s="680"/>
      <c r="BU73" s="680"/>
      <c r="BV73" s="680"/>
      <c r="BW73" s="680"/>
      <c r="BX73" s="680"/>
      <c r="BY73" s="680"/>
      <c r="BZ73" s="680"/>
      <c r="CA73" s="680"/>
      <c r="CB73" s="680"/>
      <c r="CC73" s="680"/>
      <c r="CD73" s="680"/>
      <c r="CE73" s="680"/>
      <c r="CF73" s="680"/>
      <c r="CG73" s="680"/>
      <c r="CH73" s="680"/>
      <c r="CI73" s="680"/>
      <c r="CJ73" s="680"/>
      <c r="CK73" s="680"/>
      <c r="CL73" s="680"/>
      <c r="CM73" s="680"/>
      <c r="CN73" s="680"/>
      <c r="CO73" s="680"/>
      <c r="CP73" s="680"/>
      <c r="CQ73" s="680"/>
      <c r="CR73" s="680"/>
      <c r="CS73" s="680"/>
      <c r="CT73" s="680"/>
      <c r="CU73" s="680"/>
      <c r="CV73" s="680"/>
      <c r="CW73" s="680"/>
      <c r="CX73" s="680"/>
      <c r="CY73" s="680"/>
      <c r="CZ73" s="680"/>
      <c r="DA73" s="680"/>
      <c r="DB73" s="680"/>
      <c r="DC73" s="680"/>
      <c r="DD73" s="680"/>
      <c r="DE73" s="680"/>
      <c r="DF73" s="680"/>
      <c r="DG73" s="680"/>
      <c r="DH73" s="680"/>
      <c r="DI73" s="680"/>
      <c r="DJ73" s="680"/>
      <c r="DK73" s="680"/>
      <c r="DL73" s="680"/>
      <c r="DM73" s="680"/>
      <c r="DN73" s="680"/>
      <c r="DO73" s="680"/>
      <c r="DP73" s="680"/>
      <c r="DQ73" s="680"/>
      <c r="DR73" s="680"/>
      <c r="DS73" s="680"/>
      <c r="DT73" s="680"/>
      <c r="DU73" s="680"/>
    </row>
    <row r="74" spans="1:125" s="599" customFormat="1">
      <c r="A74" s="958" t="s">
        <v>2493</v>
      </c>
      <c r="B74" s="1098" t="s">
        <v>542</v>
      </c>
      <c r="C74" s="1328" t="s">
        <v>545</v>
      </c>
      <c r="D74" s="737"/>
      <c r="E74" s="782"/>
      <c r="F74" s="782"/>
      <c r="G74" s="782"/>
      <c r="H74" s="968"/>
      <c r="I74" s="968"/>
      <c r="J74" s="968"/>
      <c r="K74" s="968"/>
      <c r="L74" s="968"/>
      <c r="M74" s="968"/>
      <c r="N74" s="774"/>
      <c r="O74" s="775"/>
      <c r="P74" s="711"/>
      <c r="Q74" s="642"/>
      <c r="R74" s="642"/>
      <c r="S74" s="642"/>
      <c r="T74" s="642"/>
      <c r="U74" s="642"/>
      <c r="V74" s="642"/>
      <c r="W74" s="642"/>
      <c r="X74" s="642"/>
      <c r="Y74" s="642"/>
      <c r="Z74" s="642"/>
      <c r="AA74" s="642"/>
      <c r="AB74" s="642"/>
      <c r="AC74" s="642"/>
      <c r="AD74" s="642"/>
      <c r="AE74" s="642"/>
      <c r="AF74" s="642"/>
      <c r="AG74" s="642"/>
      <c r="AH74" s="642"/>
      <c r="AI74" s="642"/>
      <c r="AJ74" s="642"/>
      <c r="AK74" s="642"/>
      <c r="AL74" s="642"/>
      <c r="AM74" s="642"/>
      <c r="AN74" s="642"/>
      <c r="AO74" s="642"/>
      <c r="AP74" s="642"/>
      <c r="AQ74" s="642"/>
      <c r="AR74" s="642"/>
      <c r="AS74" s="642"/>
      <c r="AT74" s="642"/>
      <c r="AU74" s="642"/>
      <c r="AV74" s="642"/>
      <c r="AW74" s="642"/>
      <c r="AX74" s="642"/>
      <c r="AY74" s="642"/>
      <c r="AZ74" s="642"/>
      <c r="BA74" s="642"/>
      <c r="BB74" s="642"/>
      <c r="BC74" s="642"/>
      <c r="BD74" s="642"/>
      <c r="BE74" s="642"/>
      <c r="BF74" s="642"/>
      <c r="BG74" s="642"/>
      <c r="BH74" s="642"/>
      <c r="BI74" s="642"/>
      <c r="BJ74" s="642"/>
      <c r="BK74" s="642"/>
      <c r="BL74" s="642"/>
      <c r="BM74" s="642"/>
      <c r="BN74" s="642"/>
      <c r="BO74" s="642"/>
      <c r="BP74" s="642"/>
      <c r="BQ74" s="642"/>
      <c r="BR74" s="642"/>
      <c r="BS74" s="642"/>
      <c r="BT74" s="642"/>
      <c r="BU74" s="642"/>
      <c r="BV74" s="642"/>
      <c r="BW74" s="642"/>
      <c r="BX74" s="642"/>
      <c r="BY74" s="642"/>
      <c r="BZ74" s="642"/>
      <c r="CA74" s="642"/>
      <c r="CB74" s="642"/>
      <c r="CC74" s="642"/>
      <c r="CD74" s="642"/>
      <c r="CE74" s="642"/>
      <c r="CF74" s="642"/>
      <c r="CG74" s="642"/>
      <c r="CH74" s="642"/>
      <c r="CI74" s="642"/>
      <c r="CJ74" s="642"/>
      <c r="CK74" s="642"/>
      <c r="CL74" s="642"/>
      <c r="CM74" s="642"/>
      <c r="CN74" s="642"/>
      <c r="CO74" s="642"/>
      <c r="CP74" s="642"/>
      <c r="CQ74" s="642"/>
      <c r="CR74" s="642"/>
      <c r="CS74" s="642"/>
      <c r="CT74" s="642"/>
      <c r="CU74" s="642"/>
      <c r="CV74" s="642"/>
      <c r="CW74" s="642"/>
      <c r="CX74" s="642"/>
      <c r="CY74" s="642"/>
      <c r="CZ74" s="642"/>
      <c r="DA74" s="642"/>
      <c r="DB74" s="642"/>
      <c r="DC74" s="642"/>
      <c r="DD74" s="642"/>
      <c r="DE74" s="642"/>
      <c r="DF74" s="642"/>
      <c r="DG74" s="642"/>
      <c r="DH74" s="642"/>
      <c r="DI74" s="642"/>
      <c r="DJ74" s="642"/>
      <c r="DK74" s="642"/>
      <c r="DL74" s="642"/>
      <c r="DM74" s="642"/>
      <c r="DN74" s="642"/>
      <c r="DO74" s="642"/>
      <c r="DP74" s="642"/>
      <c r="DQ74" s="642"/>
      <c r="DR74" s="642"/>
      <c r="DS74" s="642"/>
      <c r="DT74" s="642"/>
      <c r="DU74" s="642"/>
    </row>
    <row r="75" spans="1:125" s="599" customFormat="1">
      <c r="A75" s="714" t="s">
        <v>2494</v>
      </c>
      <c r="B75" s="948" t="s">
        <v>600</v>
      </c>
      <c r="C75" s="1322"/>
      <c r="D75" s="800" t="s">
        <v>18</v>
      </c>
      <c r="E75" s="782">
        <v>10</v>
      </c>
      <c r="F75" s="782">
        <v>10</v>
      </c>
      <c r="G75" s="782">
        <v>10</v>
      </c>
      <c r="H75" s="968">
        <v>5</v>
      </c>
      <c r="I75" s="968">
        <v>2</v>
      </c>
      <c r="J75" s="968">
        <v>4</v>
      </c>
      <c r="K75" s="968">
        <v>25</v>
      </c>
      <c r="L75" s="968">
        <v>5</v>
      </c>
      <c r="M75" s="968">
        <v>14</v>
      </c>
      <c r="N75" s="774">
        <f>SUM(E75:M75)</f>
        <v>85</v>
      </c>
      <c r="O75" s="771"/>
      <c r="P75" s="711">
        <f t="shared" si="12"/>
        <v>0</v>
      </c>
      <c r="Q75" s="642"/>
      <c r="R75" s="642"/>
      <c r="S75" s="642"/>
      <c r="T75" s="642"/>
      <c r="U75" s="642"/>
      <c r="V75" s="642"/>
      <c r="W75" s="642"/>
      <c r="X75" s="642"/>
      <c r="Y75" s="642"/>
      <c r="Z75" s="642"/>
      <c r="AA75" s="642"/>
      <c r="AB75" s="642"/>
      <c r="AC75" s="642"/>
      <c r="AD75" s="642"/>
      <c r="AE75" s="642"/>
      <c r="AF75" s="642"/>
      <c r="AG75" s="642"/>
      <c r="AH75" s="642"/>
      <c r="AI75" s="642"/>
      <c r="AJ75" s="642"/>
      <c r="AK75" s="642"/>
      <c r="AL75" s="642"/>
      <c r="AM75" s="642"/>
      <c r="AN75" s="642"/>
      <c r="AO75" s="642"/>
      <c r="AP75" s="642"/>
      <c r="AQ75" s="642"/>
      <c r="AR75" s="642"/>
      <c r="AS75" s="642"/>
      <c r="AT75" s="642"/>
      <c r="AU75" s="642"/>
      <c r="AV75" s="642"/>
      <c r="AW75" s="642"/>
      <c r="AX75" s="642"/>
      <c r="AY75" s="642"/>
      <c r="AZ75" s="642"/>
      <c r="BA75" s="642"/>
      <c r="BB75" s="642"/>
      <c r="BC75" s="642"/>
      <c r="BD75" s="642"/>
      <c r="BE75" s="642"/>
      <c r="BF75" s="642"/>
      <c r="BG75" s="642"/>
      <c r="BH75" s="642"/>
      <c r="BI75" s="642"/>
      <c r="BJ75" s="642"/>
      <c r="BK75" s="642"/>
      <c r="BL75" s="642"/>
      <c r="BM75" s="642"/>
      <c r="BN75" s="642"/>
      <c r="BO75" s="642"/>
      <c r="BP75" s="642"/>
      <c r="BQ75" s="642"/>
      <c r="BR75" s="642"/>
      <c r="BS75" s="642"/>
      <c r="BT75" s="642"/>
      <c r="BU75" s="642"/>
      <c r="BV75" s="642"/>
      <c r="BW75" s="642"/>
      <c r="BX75" s="642"/>
      <c r="BY75" s="642"/>
      <c r="BZ75" s="642"/>
      <c r="CA75" s="642"/>
      <c r="CB75" s="642"/>
      <c r="CC75" s="642"/>
      <c r="CD75" s="642"/>
      <c r="CE75" s="642"/>
      <c r="CF75" s="642"/>
      <c r="CG75" s="642"/>
      <c r="CH75" s="642"/>
      <c r="CI75" s="642"/>
      <c r="CJ75" s="642"/>
      <c r="CK75" s="642"/>
      <c r="CL75" s="642"/>
      <c r="CM75" s="642"/>
      <c r="CN75" s="642"/>
      <c r="CO75" s="642"/>
      <c r="CP75" s="642"/>
      <c r="CQ75" s="642"/>
      <c r="CR75" s="642"/>
      <c r="CS75" s="642"/>
      <c r="CT75" s="642"/>
      <c r="CU75" s="642"/>
      <c r="CV75" s="642"/>
      <c r="CW75" s="642"/>
      <c r="CX75" s="642"/>
      <c r="CY75" s="642"/>
      <c r="CZ75" s="642"/>
      <c r="DA75" s="642"/>
      <c r="DB75" s="642"/>
      <c r="DC75" s="642"/>
      <c r="DD75" s="642"/>
      <c r="DE75" s="642"/>
      <c r="DF75" s="642"/>
      <c r="DG75" s="642"/>
      <c r="DH75" s="642"/>
      <c r="DI75" s="642"/>
      <c r="DJ75" s="642"/>
      <c r="DK75" s="642"/>
      <c r="DL75" s="642"/>
      <c r="DM75" s="642"/>
      <c r="DN75" s="642"/>
      <c r="DO75" s="642"/>
      <c r="DP75" s="642"/>
      <c r="DQ75" s="642"/>
      <c r="DR75" s="642"/>
      <c r="DS75" s="642"/>
      <c r="DT75" s="642"/>
      <c r="DU75" s="642"/>
    </row>
    <row r="76" spans="1:125" s="599" customFormat="1">
      <c r="A76" s="1348" t="s">
        <v>2495</v>
      </c>
      <c r="B76" s="948" t="s">
        <v>601</v>
      </c>
      <c r="C76" s="1322"/>
      <c r="D76" s="800" t="s">
        <v>18</v>
      </c>
      <c r="E76" s="782">
        <v>10</v>
      </c>
      <c r="F76" s="782">
        <v>10</v>
      </c>
      <c r="G76" s="782">
        <v>10</v>
      </c>
      <c r="H76" s="968">
        <v>3</v>
      </c>
      <c r="I76" s="968">
        <v>2</v>
      </c>
      <c r="J76" s="968">
        <v>2</v>
      </c>
      <c r="K76" s="968">
        <v>3</v>
      </c>
      <c r="L76" s="968">
        <v>3</v>
      </c>
      <c r="M76" s="968">
        <v>9</v>
      </c>
      <c r="N76" s="774">
        <f>SUM(E76:M76)</f>
        <v>52</v>
      </c>
      <c r="O76" s="771"/>
      <c r="P76" s="711">
        <f t="shared" si="12"/>
        <v>0</v>
      </c>
      <c r="Q76" s="642"/>
      <c r="R76" s="642"/>
      <c r="S76" s="642"/>
      <c r="T76" s="642"/>
      <c r="U76" s="642"/>
      <c r="V76" s="642"/>
      <c r="W76" s="642"/>
      <c r="X76" s="642"/>
      <c r="Y76" s="642"/>
      <c r="Z76" s="642"/>
      <c r="AA76" s="642"/>
      <c r="AB76" s="642"/>
      <c r="AC76" s="642"/>
      <c r="AD76" s="642"/>
      <c r="AE76" s="642"/>
      <c r="AF76" s="642"/>
      <c r="AG76" s="642"/>
      <c r="AH76" s="642"/>
      <c r="AI76" s="642"/>
      <c r="AJ76" s="642"/>
      <c r="AK76" s="642"/>
      <c r="AL76" s="642"/>
      <c r="AM76" s="642"/>
      <c r="AN76" s="642"/>
      <c r="AO76" s="642"/>
      <c r="AP76" s="642"/>
      <c r="AQ76" s="642"/>
      <c r="AR76" s="642"/>
      <c r="AS76" s="642"/>
      <c r="AT76" s="642"/>
      <c r="AU76" s="642"/>
      <c r="AV76" s="642"/>
      <c r="AW76" s="642"/>
      <c r="AX76" s="642"/>
      <c r="AY76" s="642"/>
      <c r="AZ76" s="642"/>
      <c r="BA76" s="642"/>
      <c r="BB76" s="642"/>
      <c r="BC76" s="642"/>
      <c r="BD76" s="642"/>
      <c r="BE76" s="642"/>
      <c r="BF76" s="642"/>
      <c r="BG76" s="642"/>
      <c r="BH76" s="642"/>
      <c r="BI76" s="642"/>
      <c r="BJ76" s="642"/>
      <c r="BK76" s="642"/>
      <c r="BL76" s="642"/>
      <c r="BM76" s="642"/>
      <c r="BN76" s="642"/>
      <c r="BO76" s="642"/>
      <c r="BP76" s="642"/>
      <c r="BQ76" s="642"/>
      <c r="BR76" s="642"/>
      <c r="BS76" s="642"/>
      <c r="BT76" s="642"/>
      <c r="BU76" s="642"/>
      <c r="BV76" s="642"/>
      <c r="BW76" s="642"/>
      <c r="BX76" s="642"/>
      <c r="BY76" s="642"/>
      <c r="BZ76" s="642"/>
      <c r="CA76" s="642"/>
      <c r="CB76" s="642"/>
      <c r="CC76" s="642"/>
      <c r="CD76" s="642"/>
      <c r="CE76" s="642"/>
      <c r="CF76" s="642"/>
      <c r="CG76" s="642"/>
      <c r="CH76" s="642"/>
      <c r="CI76" s="642"/>
      <c r="CJ76" s="642"/>
      <c r="CK76" s="642"/>
      <c r="CL76" s="642"/>
      <c r="CM76" s="642"/>
      <c r="CN76" s="642"/>
      <c r="CO76" s="642"/>
      <c r="CP76" s="642"/>
      <c r="CQ76" s="642"/>
      <c r="CR76" s="642"/>
      <c r="CS76" s="642"/>
      <c r="CT76" s="642"/>
      <c r="CU76" s="642"/>
      <c r="CV76" s="642"/>
      <c r="CW76" s="642"/>
      <c r="CX76" s="642"/>
      <c r="CY76" s="642"/>
      <c r="CZ76" s="642"/>
      <c r="DA76" s="642"/>
      <c r="DB76" s="642"/>
      <c r="DC76" s="642"/>
      <c r="DD76" s="642"/>
      <c r="DE76" s="642"/>
      <c r="DF76" s="642"/>
      <c r="DG76" s="642"/>
      <c r="DH76" s="642"/>
      <c r="DI76" s="642"/>
      <c r="DJ76" s="642"/>
      <c r="DK76" s="642"/>
      <c r="DL76" s="642"/>
      <c r="DM76" s="642"/>
      <c r="DN76" s="642"/>
      <c r="DO76" s="642"/>
      <c r="DP76" s="642"/>
      <c r="DQ76" s="642"/>
      <c r="DR76" s="642"/>
      <c r="DS76" s="642"/>
      <c r="DT76" s="642"/>
      <c r="DU76" s="642"/>
    </row>
    <row r="77" spans="1:125" s="599" customFormat="1">
      <c r="A77" s="1348" t="s">
        <v>2496</v>
      </c>
      <c r="B77" s="948" t="s">
        <v>602</v>
      </c>
      <c r="C77" s="1322"/>
      <c r="D77" s="800" t="s">
        <v>18</v>
      </c>
      <c r="E77" s="782">
        <v>5</v>
      </c>
      <c r="F77" s="782">
        <v>5</v>
      </c>
      <c r="G77" s="782">
        <v>5</v>
      </c>
      <c r="H77" s="968">
        <v>2</v>
      </c>
      <c r="I77" s="968" t="s">
        <v>532</v>
      </c>
      <c r="J77" s="968">
        <v>2</v>
      </c>
      <c r="K77" s="968">
        <v>2</v>
      </c>
      <c r="L77" s="968">
        <v>2</v>
      </c>
      <c r="M77" s="968">
        <v>5</v>
      </c>
      <c r="N77" s="774">
        <f>SUM(E77:M77)</f>
        <v>28</v>
      </c>
      <c r="O77" s="771"/>
      <c r="P77" s="711">
        <f t="shared" si="12"/>
        <v>0</v>
      </c>
      <c r="Q77" s="642"/>
      <c r="R77" s="642"/>
      <c r="S77" s="642"/>
      <c r="T77" s="642"/>
      <c r="U77" s="642"/>
      <c r="V77" s="642"/>
      <c r="W77" s="642"/>
      <c r="X77" s="642"/>
      <c r="Y77" s="642"/>
      <c r="Z77" s="642"/>
      <c r="AA77" s="642"/>
      <c r="AB77" s="642"/>
      <c r="AC77" s="642"/>
      <c r="AD77" s="642"/>
      <c r="AE77" s="642"/>
      <c r="AF77" s="642"/>
      <c r="AG77" s="642"/>
      <c r="AH77" s="642"/>
      <c r="AI77" s="642"/>
      <c r="AJ77" s="642"/>
      <c r="AK77" s="642"/>
      <c r="AL77" s="642"/>
      <c r="AM77" s="642"/>
      <c r="AN77" s="642"/>
      <c r="AO77" s="642"/>
      <c r="AP77" s="642"/>
      <c r="AQ77" s="642"/>
      <c r="AR77" s="642"/>
      <c r="AS77" s="642"/>
      <c r="AT77" s="642"/>
      <c r="AU77" s="642"/>
      <c r="AV77" s="642"/>
      <c r="AW77" s="642"/>
      <c r="AX77" s="642"/>
      <c r="AY77" s="642"/>
      <c r="AZ77" s="642"/>
      <c r="BA77" s="642"/>
      <c r="BB77" s="642"/>
      <c r="BC77" s="642"/>
      <c r="BD77" s="642"/>
      <c r="BE77" s="642"/>
      <c r="BF77" s="642"/>
      <c r="BG77" s="642"/>
      <c r="BH77" s="642"/>
      <c r="BI77" s="642"/>
      <c r="BJ77" s="642"/>
      <c r="BK77" s="642"/>
      <c r="BL77" s="642"/>
      <c r="BM77" s="642"/>
      <c r="BN77" s="642"/>
      <c r="BO77" s="642"/>
      <c r="BP77" s="642"/>
      <c r="BQ77" s="642"/>
      <c r="BR77" s="642"/>
      <c r="BS77" s="642"/>
      <c r="BT77" s="642"/>
      <c r="BU77" s="642"/>
      <c r="BV77" s="642"/>
      <c r="BW77" s="642"/>
      <c r="BX77" s="642"/>
      <c r="BY77" s="642"/>
      <c r="BZ77" s="642"/>
      <c r="CA77" s="642"/>
      <c r="CB77" s="642"/>
      <c r="CC77" s="642"/>
      <c r="CD77" s="642"/>
      <c r="CE77" s="642"/>
      <c r="CF77" s="642"/>
      <c r="CG77" s="642"/>
      <c r="CH77" s="642"/>
      <c r="CI77" s="642"/>
      <c r="CJ77" s="642"/>
      <c r="CK77" s="642"/>
      <c r="CL77" s="642"/>
      <c r="CM77" s="642"/>
      <c r="CN77" s="642"/>
      <c r="CO77" s="642"/>
      <c r="CP77" s="642"/>
      <c r="CQ77" s="642"/>
      <c r="CR77" s="642"/>
      <c r="CS77" s="642"/>
      <c r="CT77" s="642"/>
      <c r="CU77" s="642"/>
      <c r="CV77" s="642"/>
      <c r="CW77" s="642"/>
      <c r="CX77" s="642"/>
      <c r="CY77" s="642"/>
      <c r="CZ77" s="642"/>
      <c r="DA77" s="642"/>
      <c r="DB77" s="642"/>
      <c r="DC77" s="642"/>
      <c r="DD77" s="642"/>
      <c r="DE77" s="642"/>
      <c r="DF77" s="642"/>
      <c r="DG77" s="642"/>
      <c r="DH77" s="642"/>
      <c r="DI77" s="642"/>
      <c r="DJ77" s="642"/>
      <c r="DK77" s="642"/>
      <c r="DL77" s="642"/>
      <c r="DM77" s="642"/>
      <c r="DN77" s="642"/>
      <c r="DO77" s="642"/>
      <c r="DP77" s="642"/>
      <c r="DQ77" s="642"/>
      <c r="DR77" s="642"/>
      <c r="DS77" s="642"/>
      <c r="DT77" s="642"/>
      <c r="DU77" s="642"/>
    </row>
    <row r="78" spans="1:125" s="592" customFormat="1" ht="16.5" customHeight="1">
      <c r="A78" s="715" t="s">
        <v>672</v>
      </c>
      <c r="B78" s="1056" t="s">
        <v>237</v>
      </c>
      <c r="C78" s="1326" t="s">
        <v>405</v>
      </c>
      <c r="D78" s="764"/>
      <c r="E78" s="706"/>
      <c r="F78" s="706"/>
      <c r="G78" s="706"/>
      <c r="H78" s="827"/>
      <c r="I78" s="827"/>
      <c r="J78" s="827"/>
      <c r="K78" s="827"/>
      <c r="L78" s="827"/>
      <c r="M78" s="827"/>
      <c r="N78" s="773"/>
      <c r="O78" s="773"/>
      <c r="P78" s="707">
        <f>SUM(P79:P97)</f>
        <v>0</v>
      </c>
      <c r="Q78" s="1320"/>
      <c r="R78" s="1320"/>
      <c r="S78" s="1320"/>
      <c r="T78" s="1320"/>
      <c r="U78" s="1320"/>
      <c r="V78" s="1320"/>
      <c r="W78" s="1320"/>
      <c r="X78" s="1320"/>
      <c r="Y78" s="1320"/>
      <c r="Z78" s="1320"/>
      <c r="AA78" s="1320"/>
      <c r="AB78" s="1320"/>
      <c r="AC78" s="1320"/>
      <c r="AD78" s="1320"/>
      <c r="AE78" s="1320"/>
      <c r="AF78" s="1320"/>
      <c r="AG78" s="1320"/>
      <c r="AH78" s="1320"/>
      <c r="AI78" s="1320"/>
      <c r="AJ78" s="1320"/>
      <c r="AK78" s="1320"/>
      <c r="AL78" s="1320"/>
      <c r="AM78" s="1320"/>
      <c r="AN78" s="1320"/>
      <c r="AO78" s="1320"/>
      <c r="AP78" s="1320"/>
      <c r="AQ78" s="1320"/>
      <c r="AR78" s="1320"/>
      <c r="AS78" s="1320"/>
      <c r="AT78" s="1320"/>
      <c r="AU78" s="1320"/>
      <c r="AV78" s="1320"/>
      <c r="AW78" s="1320"/>
      <c r="AX78" s="1320"/>
      <c r="AY78" s="1320"/>
      <c r="AZ78" s="1320"/>
      <c r="BA78" s="1320"/>
      <c r="BB78" s="1320"/>
      <c r="BC78" s="1320"/>
      <c r="BD78" s="1320"/>
      <c r="BE78" s="1320"/>
      <c r="BF78" s="1320"/>
      <c r="BG78" s="1320"/>
      <c r="BH78" s="1320"/>
      <c r="BI78" s="1320"/>
      <c r="BJ78" s="1320"/>
      <c r="BK78" s="1320"/>
      <c r="BL78" s="1320"/>
      <c r="BM78" s="1320"/>
      <c r="BN78" s="1320"/>
      <c r="BO78" s="1320"/>
      <c r="BP78" s="1320"/>
      <c r="BQ78" s="1320"/>
      <c r="BR78" s="1320"/>
      <c r="BS78" s="1320"/>
      <c r="BT78" s="1320"/>
      <c r="BU78" s="1320"/>
      <c r="BV78" s="1320"/>
      <c r="BW78" s="1320"/>
      <c r="BX78" s="1320"/>
      <c r="BY78" s="1320"/>
      <c r="BZ78" s="1320"/>
      <c r="CA78" s="1320"/>
      <c r="CB78" s="1320"/>
      <c r="CC78" s="1320"/>
      <c r="CD78" s="1320"/>
      <c r="CE78" s="1320"/>
      <c r="CF78" s="1320"/>
      <c r="CG78" s="1320"/>
      <c r="CH78" s="1320"/>
      <c r="CI78" s="1320"/>
      <c r="CJ78" s="1320"/>
      <c r="CK78" s="1320"/>
      <c r="CL78" s="1320"/>
      <c r="CM78" s="1320"/>
      <c r="CN78" s="1320"/>
      <c r="CO78" s="1320"/>
      <c r="CP78" s="1320"/>
      <c r="CQ78" s="1320"/>
      <c r="CR78" s="1320"/>
      <c r="CS78" s="1320"/>
      <c r="CT78" s="1320"/>
      <c r="CU78" s="1320"/>
      <c r="CV78" s="1320"/>
      <c r="CW78" s="1320"/>
      <c r="CX78" s="1320"/>
      <c r="CY78" s="1320"/>
      <c r="CZ78" s="1320"/>
      <c r="DA78" s="1320"/>
      <c r="DB78" s="1320"/>
      <c r="DC78" s="1320"/>
      <c r="DD78" s="1320"/>
      <c r="DE78" s="1320"/>
      <c r="DF78" s="1320"/>
      <c r="DG78" s="1320"/>
      <c r="DH78" s="1320"/>
      <c r="DI78" s="1320"/>
      <c r="DJ78" s="1320"/>
      <c r="DK78" s="1320"/>
      <c r="DL78" s="1320"/>
      <c r="DM78" s="1320"/>
      <c r="DN78" s="1320"/>
      <c r="DO78" s="1320"/>
      <c r="DP78" s="1320"/>
      <c r="DQ78" s="1320"/>
      <c r="DR78" s="1320"/>
      <c r="DS78" s="1320"/>
      <c r="DT78" s="1320"/>
      <c r="DU78" s="1320"/>
    </row>
    <row r="79" spans="1:125" s="599" customFormat="1">
      <c r="A79" s="717" t="s">
        <v>709</v>
      </c>
      <c r="B79" s="1052" t="s">
        <v>2497</v>
      </c>
      <c r="C79" s="1330" t="s">
        <v>409</v>
      </c>
      <c r="D79" s="702" t="s">
        <v>236</v>
      </c>
      <c r="E79" s="782">
        <v>402</v>
      </c>
      <c r="F79" s="782">
        <v>829</v>
      </c>
      <c r="G79" s="782">
        <v>178</v>
      </c>
      <c r="H79" s="968">
        <v>20</v>
      </c>
      <c r="I79" s="968">
        <v>20</v>
      </c>
      <c r="J79" s="968">
        <v>62</v>
      </c>
      <c r="K79" s="968">
        <v>10</v>
      </c>
      <c r="L79" s="968">
        <v>10</v>
      </c>
      <c r="M79" s="968">
        <v>20</v>
      </c>
      <c r="N79" s="774">
        <f>SUM(E79:M79)</f>
        <v>1551</v>
      </c>
      <c r="O79" s="771"/>
      <c r="P79" s="711">
        <f t="shared" si="12"/>
        <v>0</v>
      </c>
      <c r="Q79" s="642"/>
      <c r="R79" s="642"/>
      <c r="S79" s="642"/>
      <c r="T79" s="642"/>
      <c r="U79" s="642"/>
      <c r="V79" s="642"/>
      <c r="W79" s="642"/>
      <c r="X79" s="642"/>
      <c r="Y79" s="642"/>
      <c r="Z79" s="642"/>
      <c r="AA79" s="642"/>
      <c r="AB79" s="642"/>
      <c r="AC79" s="642"/>
      <c r="AD79" s="642"/>
      <c r="AE79" s="642"/>
      <c r="AF79" s="642"/>
      <c r="AG79" s="642"/>
      <c r="AH79" s="642"/>
      <c r="AI79" s="642"/>
      <c r="AJ79" s="642"/>
      <c r="AK79" s="642"/>
      <c r="AL79" s="642"/>
      <c r="AM79" s="642"/>
      <c r="AN79" s="642"/>
      <c r="AO79" s="642"/>
      <c r="AP79" s="642"/>
      <c r="AQ79" s="642"/>
      <c r="AR79" s="642"/>
      <c r="AS79" s="642"/>
      <c r="AT79" s="642"/>
      <c r="AU79" s="642"/>
      <c r="AV79" s="642"/>
      <c r="AW79" s="642"/>
      <c r="AX79" s="642"/>
      <c r="AY79" s="642"/>
      <c r="AZ79" s="642"/>
      <c r="BA79" s="642"/>
      <c r="BB79" s="642"/>
      <c r="BC79" s="642"/>
      <c r="BD79" s="642"/>
      <c r="BE79" s="642"/>
      <c r="BF79" s="642"/>
      <c r="BG79" s="642"/>
      <c r="BH79" s="642"/>
      <c r="BI79" s="642"/>
      <c r="BJ79" s="642"/>
      <c r="BK79" s="642"/>
      <c r="BL79" s="642"/>
      <c r="BM79" s="642"/>
      <c r="BN79" s="642"/>
      <c r="BO79" s="642"/>
      <c r="BP79" s="642"/>
      <c r="BQ79" s="642"/>
      <c r="BR79" s="642"/>
      <c r="BS79" s="642"/>
      <c r="BT79" s="642"/>
      <c r="BU79" s="642"/>
      <c r="BV79" s="642"/>
      <c r="BW79" s="642"/>
      <c r="BX79" s="642"/>
      <c r="BY79" s="642"/>
      <c r="BZ79" s="642"/>
      <c r="CA79" s="642"/>
      <c r="CB79" s="642"/>
      <c r="CC79" s="642"/>
      <c r="CD79" s="642"/>
      <c r="CE79" s="642"/>
      <c r="CF79" s="642"/>
      <c r="CG79" s="642"/>
      <c r="CH79" s="642"/>
      <c r="CI79" s="642"/>
      <c r="CJ79" s="642"/>
      <c r="CK79" s="642"/>
      <c r="CL79" s="642"/>
      <c r="CM79" s="642"/>
      <c r="CN79" s="642"/>
      <c r="CO79" s="642"/>
      <c r="CP79" s="642"/>
      <c r="CQ79" s="642"/>
      <c r="CR79" s="642"/>
      <c r="CS79" s="642"/>
      <c r="CT79" s="642"/>
      <c r="CU79" s="642"/>
      <c r="CV79" s="642"/>
      <c r="CW79" s="642"/>
      <c r="CX79" s="642"/>
      <c r="CY79" s="642"/>
      <c r="CZ79" s="642"/>
      <c r="DA79" s="642"/>
      <c r="DB79" s="642"/>
      <c r="DC79" s="642"/>
      <c r="DD79" s="642"/>
      <c r="DE79" s="642"/>
      <c r="DF79" s="642"/>
      <c r="DG79" s="642"/>
      <c r="DH79" s="642"/>
      <c r="DI79" s="642"/>
      <c r="DJ79" s="642"/>
      <c r="DK79" s="642"/>
      <c r="DL79" s="642"/>
      <c r="DM79" s="642"/>
      <c r="DN79" s="642"/>
      <c r="DO79" s="642"/>
      <c r="DP79" s="642"/>
      <c r="DQ79" s="642"/>
      <c r="DR79" s="642"/>
      <c r="DS79" s="642"/>
      <c r="DT79" s="642"/>
      <c r="DU79" s="642"/>
    </row>
    <row r="80" spans="1:125">
      <c r="A80" s="717" t="s">
        <v>374</v>
      </c>
      <c r="B80" s="793" t="s">
        <v>387</v>
      </c>
      <c r="C80" s="1325" t="s">
        <v>411</v>
      </c>
      <c r="D80" s="702"/>
      <c r="E80" s="782"/>
      <c r="F80" s="782"/>
      <c r="G80" s="782"/>
      <c r="H80" s="968"/>
      <c r="I80" s="968"/>
      <c r="J80" s="968"/>
      <c r="K80" s="968"/>
      <c r="L80" s="968"/>
      <c r="M80" s="968"/>
      <c r="N80" s="774"/>
      <c r="O80" s="775"/>
      <c r="P80" s="711"/>
    </row>
    <row r="81" spans="1:125">
      <c r="A81" s="714" t="s">
        <v>974</v>
      </c>
      <c r="B81" s="947" t="s">
        <v>447</v>
      </c>
      <c r="C81" s="1327"/>
      <c r="D81" s="737" t="s">
        <v>236</v>
      </c>
      <c r="E81" s="782">
        <f>12795+285</f>
        <v>13080</v>
      </c>
      <c r="F81" s="782">
        <f>14735+410</f>
        <v>15145</v>
      </c>
      <c r="G81" s="782">
        <f>5155+70</f>
        <v>5225</v>
      </c>
      <c r="H81" s="968">
        <v>17742.16</v>
      </c>
      <c r="I81" s="968">
        <v>1285.03</v>
      </c>
      <c r="J81" s="968">
        <v>11916</v>
      </c>
      <c r="K81" s="968">
        <v>28865</v>
      </c>
      <c r="L81" s="968">
        <v>4813</v>
      </c>
      <c r="M81" s="968">
        <v>35179.78</v>
      </c>
      <c r="N81" s="774">
        <f>SUM(E81:M81)</f>
        <v>133250.97</v>
      </c>
      <c r="O81" s="771"/>
      <c r="P81" s="711">
        <f t="shared" si="12"/>
        <v>0</v>
      </c>
    </row>
    <row r="82" spans="1:125">
      <c r="A82" s="714" t="s">
        <v>975</v>
      </c>
      <c r="B82" s="947" t="s">
        <v>502</v>
      </c>
      <c r="C82" s="1327"/>
      <c r="D82" s="737" t="s">
        <v>236</v>
      </c>
      <c r="E82" s="782">
        <v>7082</v>
      </c>
      <c r="F82" s="782">
        <v>5892</v>
      </c>
      <c r="G82" s="782">
        <v>3052</v>
      </c>
      <c r="H82" s="968">
        <v>6676.88</v>
      </c>
      <c r="I82" s="968">
        <v>382.11</v>
      </c>
      <c r="J82" s="968">
        <v>4725</v>
      </c>
      <c r="K82" s="968">
        <v>9270</v>
      </c>
      <c r="L82" s="968">
        <v>1556</v>
      </c>
      <c r="M82" s="968">
        <v>13434.14</v>
      </c>
      <c r="N82" s="774">
        <f>SUM(E82:M82)</f>
        <v>52070.130000000005</v>
      </c>
      <c r="O82" s="771"/>
      <c r="P82" s="711">
        <f t="shared" si="12"/>
        <v>0</v>
      </c>
    </row>
    <row r="83" spans="1:125">
      <c r="A83" s="714" t="s">
        <v>977</v>
      </c>
      <c r="B83" s="947" t="s">
        <v>544</v>
      </c>
      <c r="C83" s="1327"/>
      <c r="D83" s="737" t="s">
        <v>236</v>
      </c>
      <c r="E83" s="782" t="s">
        <v>532</v>
      </c>
      <c r="F83" s="782">
        <v>63</v>
      </c>
      <c r="G83" s="782">
        <v>18</v>
      </c>
      <c r="H83" s="968">
        <v>101.74</v>
      </c>
      <c r="I83" s="968"/>
      <c r="J83" s="968">
        <v>93.56</v>
      </c>
      <c r="K83" s="968">
        <v>45</v>
      </c>
      <c r="L83" s="968">
        <v>0</v>
      </c>
      <c r="M83" s="968">
        <v>314.88</v>
      </c>
      <c r="N83" s="774">
        <f>SUM(E83:M83)</f>
        <v>636.18000000000006</v>
      </c>
      <c r="O83" s="771"/>
      <c r="P83" s="711">
        <f t="shared" si="12"/>
        <v>0</v>
      </c>
    </row>
    <row r="84" spans="1:125">
      <c r="A84" s="717" t="s">
        <v>477</v>
      </c>
      <c r="B84" s="793" t="s">
        <v>694</v>
      </c>
      <c r="C84" s="1325" t="s">
        <v>2567</v>
      </c>
      <c r="D84" s="702"/>
      <c r="E84" s="782"/>
      <c r="F84" s="782"/>
      <c r="G84" s="782"/>
      <c r="H84" s="968"/>
      <c r="I84" s="968"/>
      <c r="J84" s="968"/>
      <c r="K84" s="968"/>
      <c r="L84" s="968"/>
      <c r="M84" s="968"/>
      <c r="N84" s="774"/>
      <c r="O84" s="775"/>
      <c r="P84" s="711"/>
    </row>
    <row r="85" spans="1:125">
      <c r="A85" s="714" t="s">
        <v>1342</v>
      </c>
      <c r="B85" s="947" t="s">
        <v>447</v>
      </c>
      <c r="C85" s="1327"/>
      <c r="D85" s="737" t="s">
        <v>236</v>
      </c>
      <c r="E85" s="782">
        <f>640+15</f>
        <v>655</v>
      </c>
      <c r="F85" s="782">
        <f>737+20</f>
        <v>757</v>
      </c>
      <c r="G85" s="782">
        <f>258+4</f>
        <v>262</v>
      </c>
      <c r="H85" s="968">
        <v>933.8</v>
      </c>
      <c r="I85" s="968">
        <v>67.63</v>
      </c>
      <c r="J85" s="968">
        <v>595.79999999999995</v>
      </c>
      <c r="K85" s="968">
        <v>1443</v>
      </c>
      <c r="L85" s="968">
        <v>235</v>
      </c>
      <c r="M85" s="968">
        <v>1851.57</v>
      </c>
      <c r="N85" s="774">
        <f t="shared" ref="N85:N90" si="13">SUM(E85:M85)</f>
        <v>6800.8</v>
      </c>
      <c r="O85" s="771"/>
      <c r="P85" s="711">
        <f t="shared" si="12"/>
        <v>0</v>
      </c>
    </row>
    <row r="86" spans="1:125">
      <c r="A86" s="714" t="s">
        <v>1343</v>
      </c>
      <c r="B86" s="947" t="s">
        <v>502</v>
      </c>
      <c r="C86" s="1327"/>
      <c r="D86" s="737" t="s">
        <v>236</v>
      </c>
      <c r="E86" s="782">
        <v>355</v>
      </c>
      <c r="F86" s="782">
        <v>295</v>
      </c>
      <c r="G86" s="782">
        <v>153</v>
      </c>
      <c r="H86" s="968">
        <v>351.41</v>
      </c>
      <c r="I86" s="968">
        <v>20.11</v>
      </c>
      <c r="J86" s="968">
        <v>236.25</v>
      </c>
      <c r="K86" s="968">
        <v>464</v>
      </c>
      <c r="L86" s="968">
        <v>75</v>
      </c>
      <c r="M86" s="968">
        <v>707.06</v>
      </c>
      <c r="N86" s="774">
        <f t="shared" si="13"/>
        <v>2656.83</v>
      </c>
      <c r="O86" s="771"/>
      <c r="P86" s="711">
        <f t="shared" si="12"/>
        <v>0</v>
      </c>
    </row>
    <row r="87" spans="1:125">
      <c r="A87" s="714" t="s">
        <v>1344</v>
      </c>
      <c r="B87" s="947" t="s">
        <v>544</v>
      </c>
      <c r="C87" s="1327"/>
      <c r="D87" s="737" t="s">
        <v>236</v>
      </c>
      <c r="E87" s="782" t="s">
        <v>532</v>
      </c>
      <c r="F87" s="782">
        <v>3</v>
      </c>
      <c r="G87" s="782" t="s">
        <v>532</v>
      </c>
      <c r="H87" s="968">
        <v>5.35</v>
      </c>
      <c r="I87" s="968"/>
      <c r="J87" s="968">
        <v>4.68</v>
      </c>
      <c r="K87" s="968"/>
      <c r="L87" s="968"/>
      <c r="M87" s="968">
        <v>16.57</v>
      </c>
      <c r="N87" s="774">
        <f t="shared" si="13"/>
        <v>29.6</v>
      </c>
      <c r="O87" s="771"/>
      <c r="P87" s="711">
        <f t="shared" si="12"/>
        <v>0</v>
      </c>
    </row>
    <row r="88" spans="1:125" s="600" customFormat="1">
      <c r="A88" s="717" t="s">
        <v>673</v>
      </c>
      <c r="B88" s="1052" t="s">
        <v>478</v>
      </c>
      <c r="C88" s="1325" t="s">
        <v>410</v>
      </c>
      <c r="D88" s="702" t="s">
        <v>236</v>
      </c>
      <c r="E88" s="782">
        <v>959</v>
      </c>
      <c r="F88" s="782">
        <f>895+30</f>
        <v>925</v>
      </c>
      <c r="G88" s="782">
        <v>387</v>
      </c>
      <c r="H88" s="968">
        <v>1652.16</v>
      </c>
      <c r="I88" s="968">
        <v>114.62</v>
      </c>
      <c r="J88" s="968">
        <v>880</v>
      </c>
      <c r="K88" s="968">
        <v>2205</v>
      </c>
      <c r="L88" s="968">
        <v>361</v>
      </c>
      <c r="M88" s="968">
        <v>3274.85</v>
      </c>
      <c r="N88" s="774">
        <f t="shared" si="13"/>
        <v>10758.63</v>
      </c>
      <c r="O88" s="771"/>
      <c r="P88" s="711">
        <f t="shared" si="12"/>
        <v>0</v>
      </c>
      <c r="Q88" s="642"/>
      <c r="R88" s="642"/>
      <c r="S88" s="642"/>
      <c r="T88" s="642"/>
      <c r="U88" s="642"/>
      <c r="V88" s="642"/>
      <c r="W88" s="642"/>
      <c r="X88" s="642"/>
      <c r="Y88" s="642"/>
      <c r="Z88" s="642"/>
      <c r="AA88" s="642"/>
      <c r="AB88" s="642"/>
      <c r="AC88" s="642"/>
      <c r="AD88" s="642"/>
      <c r="AE88" s="642"/>
      <c r="AF88" s="642"/>
      <c r="AG88" s="642"/>
      <c r="AH88" s="642"/>
      <c r="AI88" s="642"/>
      <c r="AJ88" s="642"/>
      <c r="AK88" s="642"/>
      <c r="AL88" s="642"/>
      <c r="AM88" s="642"/>
      <c r="AN88" s="642"/>
      <c r="AO88" s="642"/>
      <c r="AP88" s="642"/>
      <c r="AQ88" s="642"/>
      <c r="AR88" s="642"/>
      <c r="AS88" s="642"/>
      <c r="AT88" s="642"/>
      <c r="AU88" s="642"/>
      <c r="AV88" s="642"/>
      <c r="AW88" s="642"/>
      <c r="AX88" s="642"/>
      <c r="AY88" s="642"/>
      <c r="AZ88" s="642"/>
      <c r="BA88" s="642"/>
      <c r="BB88" s="642"/>
      <c r="BC88" s="642"/>
      <c r="BD88" s="642"/>
      <c r="BE88" s="642"/>
      <c r="BF88" s="642"/>
      <c r="BG88" s="642"/>
      <c r="BH88" s="642"/>
      <c r="BI88" s="642"/>
      <c r="BJ88" s="642"/>
      <c r="BK88" s="642"/>
      <c r="BL88" s="642"/>
      <c r="BM88" s="642"/>
      <c r="BN88" s="642"/>
      <c r="BO88" s="642"/>
      <c r="BP88" s="642"/>
      <c r="BQ88" s="642"/>
      <c r="BR88" s="642"/>
      <c r="BS88" s="642"/>
      <c r="BT88" s="642"/>
      <c r="BU88" s="642"/>
      <c r="BV88" s="642"/>
      <c r="BW88" s="642"/>
      <c r="BX88" s="642"/>
      <c r="BY88" s="642"/>
      <c r="BZ88" s="642"/>
      <c r="CA88" s="642"/>
      <c r="CB88" s="642"/>
      <c r="CC88" s="642"/>
      <c r="CD88" s="642"/>
      <c r="CE88" s="642"/>
      <c r="CF88" s="642"/>
      <c r="CG88" s="642"/>
      <c r="CH88" s="642"/>
      <c r="CI88" s="642"/>
      <c r="CJ88" s="642"/>
      <c r="CK88" s="642"/>
      <c r="CL88" s="642"/>
      <c r="CM88" s="642"/>
      <c r="CN88" s="642"/>
      <c r="CO88" s="642"/>
      <c r="CP88" s="642"/>
      <c r="CQ88" s="642"/>
      <c r="CR88" s="642"/>
      <c r="CS88" s="642"/>
      <c r="CT88" s="642"/>
      <c r="CU88" s="642"/>
      <c r="CV88" s="642"/>
      <c r="CW88" s="642"/>
      <c r="CX88" s="642"/>
      <c r="CY88" s="642"/>
      <c r="CZ88" s="642"/>
      <c r="DA88" s="642"/>
      <c r="DB88" s="642"/>
      <c r="DC88" s="642"/>
      <c r="DD88" s="642"/>
      <c r="DE88" s="642"/>
      <c r="DF88" s="642"/>
      <c r="DG88" s="642"/>
      <c r="DH88" s="642"/>
      <c r="DI88" s="642"/>
      <c r="DJ88" s="642"/>
      <c r="DK88" s="642"/>
      <c r="DL88" s="642"/>
      <c r="DM88" s="642"/>
      <c r="DN88" s="642"/>
      <c r="DO88" s="642"/>
      <c r="DP88" s="642"/>
      <c r="DQ88" s="642"/>
      <c r="DR88" s="642"/>
      <c r="DS88" s="642"/>
      <c r="DT88" s="642"/>
      <c r="DU88" s="642"/>
    </row>
    <row r="89" spans="1:125" s="600" customFormat="1" ht="16.5" customHeight="1">
      <c r="A89" s="717" t="s">
        <v>674</v>
      </c>
      <c r="B89" s="1057" t="s">
        <v>495</v>
      </c>
      <c r="C89" s="1325" t="s">
        <v>412</v>
      </c>
      <c r="D89" s="702" t="s">
        <v>236</v>
      </c>
      <c r="E89" s="782">
        <f>8574+95</f>
        <v>8669</v>
      </c>
      <c r="F89" s="782">
        <f>5041+90</f>
        <v>5131</v>
      </c>
      <c r="G89" s="782">
        <f>1977+18</f>
        <v>1995</v>
      </c>
      <c r="H89" s="968">
        <v>4257.43</v>
      </c>
      <c r="I89" s="968">
        <v>285.3</v>
      </c>
      <c r="J89" s="968">
        <v>2296</v>
      </c>
      <c r="K89" s="968">
        <v>7345</v>
      </c>
      <c r="L89" s="968">
        <v>1200</v>
      </c>
      <c r="M89" s="968">
        <v>8480.4500000000007</v>
      </c>
      <c r="N89" s="774">
        <f t="shared" si="13"/>
        <v>39659.18</v>
      </c>
      <c r="O89" s="771"/>
      <c r="P89" s="711">
        <f t="shared" si="12"/>
        <v>0</v>
      </c>
      <c r="Q89" s="642"/>
      <c r="R89" s="642"/>
      <c r="S89" s="642"/>
      <c r="T89" s="642"/>
      <c r="U89" s="642"/>
      <c r="V89" s="642"/>
      <c r="W89" s="642"/>
      <c r="X89" s="642"/>
      <c r="Y89" s="642"/>
      <c r="Z89" s="642"/>
      <c r="AA89" s="642"/>
      <c r="AB89" s="642"/>
      <c r="AC89" s="642"/>
      <c r="AD89" s="642"/>
      <c r="AE89" s="642"/>
      <c r="AF89" s="642"/>
      <c r="AG89" s="642"/>
      <c r="AH89" s="642"/>
      <c r="AI89" s="642"/>
      <c r="AJ89" s="642"/>
      <c r="AK89" s="642"/>
      <c r="AL89" s="642"/>
      <c r="AM89" s="642"/>
      <c r="AN89" s="642"/>
      <c r="AO89" s="642"/>
      <c r="AP89" s="642"/>
      <c r="AQ89" s="642"/>
      <c r="AR89" s="642"/>
      <c r="AS89" s="642"/>
      <c r="AT89" s="642"/>
      <c r="AU89" s="642"/>
      <c r="AV89" s="642"/>
      <c r="AW89" s="642"/>
      <c r="AX89" s="642"/>
      <c r="AY89" s="642"/>
      <c r="AZ89" s="642"/>
      <c r="BA89" s="642"/>
      <c r="BB89" s="642"/>
      <c r="BC89" s="642"/>
      <c r="BD89" s="642"/>
      <c r="BE89" s="642"/>
      <c r="BF89" s="642"/>
      <c r="BG89" s="642"/>
      <c r="BH89" s="642"/>
      <c r="BI89" s="642"/>
      <c r="BJ89" s="642"/>
      <c r="BK89" s="642"/>
      <c r="BL89" s="642"/>
      <c r="BM89" s="642"/>
      <c r="BN89" s="642"/>
      <c r="BO89" s="642"/>
      <c r="BP89" s="642"/>
      <c r="BQ89" s="642"/>
      <c r="BR89" s="642"/>
      <c r="BS89" s="642"/>
      <c r="BT89" s="642"/>
      <c r="BU89" s="642"/>
      <c r="BV89" s="642"/>
      <c r="BW89" s="642"/>
      <c r="BX89" s="642"/>
      <c r="BY89" s="642"/>
      <c r="BZ89" s="642"/>
      <c r="CA89" s="642"/>
      <c r="CB89" s="642"/>
      <c r="CC89" s="642"/>
      <c r="CD89" s="642"/>
      <c r="CE89" s="642"/>
      <c r="CF89" s="642"/>
      <c r="CG89" s="642"/>
      <c r="CH89" s="642"/>
      <c r="CI89" s="642"/>
      <c r="CJ89" s="642"/>
      <c r="CK89" s="642"/>
      <c r="CL89" s="642"/>
      <c r="CM89" s="642"/>
      <c r="CN89" s="642"/>
      <c r="CO89" s="642"/>
      <c r="CP89" s="642"/>
      <c r="CQ89" s="642"/>
      <c r="CR89" s="642"/>
      <c r="CS89" s="642"/>
      <c r="CT89" s="642"/>
      <c r="CU89" s="642"/>
      <c r="CV89" s="642"/>
      <c r="CW89" s="642"/>
      <c r="CX89" s="642"/>
      <c r="CY89" s="642"/>
      <c r="CZ89" s="642"/>
      <c r="DA89" s="642"/>
      <c r="DB89" s="642"/>
      <c r="DC89" s="642"/>
      <c r="DD89" s="642"/>
      <c r="DE89" s="642"/>
      <c r="DF89" s="642"/>
      <c r="DG89" s="642"/>
      <c r="DH89" s="642"/>
      <c r="DI89" s="642"/>
      <c r="DJ89" s="642"/>
      <c r="DK89" s="642"/>
      <c r="DL89" s="642"/>
      <c r="DM89" s="642"/>
      <c r="DN89" s="642"/>
      <c r="DO89" s="642"/>
      <c r="DP89" s="642"/>
      <c r="DQ89" s="642"/>
      <c r="DR89" s="642"/>
      <c r="DS89" s="642"/>
      <c r="DT89" s="642"/>
      <c r="DU89" s="642"/>
    </row>
    <row r="90" spans="1:125" s="599" customFormat="1">
      <c r="A90" s="717" t="s">
        <v>710</v>
      </c>
      <c r="B90" s="1052" t="s">
        <v>551</v>
      </c>
      <c r="C90" s="1330" t="s">
        <v>389</v>
      </c>
      <c r="D90" s="702" t="s">
        <v>236</v>
      </c>
      <c r="E90" s="782">
        <v>4410</v>
      </c>
      <c r="F90" s="782">
        <v>3008</v>
      </c>
      <c r="G90" s="782">
        <v>831</v>
      </c>
      <c r="H90" s="968"/>
      <c r="I90" s="968"/>
      <c r="J90" s="968">
        <v>699</v>
      </c>
      <c r="K90" s="968">
        <v>5</v>
      </c>
      <c r="L90" s="968">
        <v>40</v>
      </c>
      <c r="M90" s="968">
        <v>2353.94</v>
      </c>
      <c r="N90" s="774">
        <f t="shared" si="13"/>
        <v>11346.94</v>
      </c>
      <c r="O90" s="771"/>
      <c r="P90" s="711">
        <f t="shared" si="12"/>
        <v>0</v>
      </c>
      <c r="Q90" s="642"/>
      <c r="R90" s="642"/>
      <c r="S90" s="642"/>
      <c r="T90" s="642"/>
      <c r="U90" s="642"/>
      <c r="V90" s="642"/>
      <c r="W90" s="642"/>
      <c r="X90" s="642"/>
      <c r="Y90" s="642"/>
      <c r="Z90" s="642"/>
      <c r="AA90" s="642"/>
      <c r="AB90" s="642"/>
      <c r="AC90" s="642"/>
      <c r="AD90" s="642"/>
      <c r="AE90" s="642"/>
      <c r="AF90" s="642"/>
      <c r="AG90" s="642"/>
      <c r="AH90" s="642"/>
      <c r="AI90" s="642"/>
      <c r="AJ90" s="642"/>
      <c r="AK90" s="642"/>
      <c r="AL90" s="642"/>
      <c r="AM90" s="642"/>
      <c r="AN90" s="642"/>
      <c r="AO90" s="642"/>
      <c r="AP90" s="642"/>
      <c r="AQ90" s="642"/>
      <c r="AR90" s="642"/>
      <c r="AS90" s="642"/>
      <c r="AT90" s="642"/>
      <c r="AU90" s="642"/>
      <c r="AV90" s="642"/>
      <c r="AW90" s="642"/>
      <c r="AX90" s="642"/>
      <c r="AY90" s="642"/>
      <c r="AZ90" s="642"/>
      <c r="BA90" s="642"/>
      <c r="BB90" s="642"/>
      <c r="BC90" s="642"/>
      <c r="BD90" s="642"/>
      <c r="BE90" s="642"/>
      <c r="BF90" s="642"/>
      <c r="BG90" s="642"/>
      <c r="BH90" s="642"/>
      <c r="BI90" s="642"/>
      <c r="BJ90" s="642"/>
      <c r="BK90" s="642"/>
      <c r="BL90" s="642"/>
      <c r="BM90" s="642"/>
      <c r="BN90" s="642"/>
      <c r="BO90" s="642"/>
      <c r="BP90" s="642"/>
      <c r="BQ90" s="642"/>
      <c r="BR90" s="642"/>
      <c r="BS90" s="642"/>
      <c r="BT90" s="642"/>
      <c r="BU90" s="642"/>
      <c r="BV90" s="642"/>
      <c r="BW90" s="642"/>
      <c r="BX90" s="642"/>
      <c r="BY90" s="642"/>
      <c r="BZ90" s="642"/>
      <c r="CA90" s="642"/>
      <c r="CB90" s="642"/>
      <c r="CC90" s="642"/>
      <c r="CD90" s="642"/>
      <c r="CE90" s="642"/>
      <c r="CF90" s="642"/>
      <c r="CG90" s="642"/>
      <c r="CH90" s="642"/>
      <c r="CI90" s="642"/>
      <c r="CJ90" s="642"/>
      <c r="CK90" s="642"/>
      <c r="CL90" s="642"/>
      <c r="CM90" s="642"/>
      <c r="CN90" s="642"/>
      <c r="CO90" s="642"/>
      <c r="CP90" s="642"/>
      <c r="CQ90" s="642"/>
      <c r="CR90" s="642"/>
      <c r="CS90" s="642"/>
      <c r="CT90" s="642"/>
      <c r="CU90" s="642"/>
      <c r="CV90" s="642"/>
      <c r="CW90" s="642"/>
      <c r="CX90" s="642"/>
      <c r="CY90" s="642"/>
      <c r="CZ90" s="642"/>
      <c r="DA90" s="642"/>
      <c r="DB90" s="642"/>
      <c r="DC90" s="642"/>
      <c r="DD90" s="642"/>
      <c r="DE90" s="642"/>
      <c r="DF90" s="642"/>
      <c r="DG90" s="642"/>
      <c r="DH90" s="642"/>
      <c r="DI90" s="642"/>
      <c r="DJ90" s="642"/>
      <c r="DK90" s="642"/>
      <c r="DL90" s="642"/>
      <c r="DM90" s="642"/>
      <c r="DN90" s="642"/>
      <c r="DO90" s="642"/>
      <c r="DP90" s="642"/>
      <c r="DQ90" s="642"/>
      <c r="DR90" s="642"/>
      <c r="DS90" s="642"/>
      <c r="DT90" s="642"/>
      <c r="DU90" s="642"/>
    </row>
    <row r="91" spans="1:125" s="1341" customFormat="1">
      <c r="A91" s="1350" t="s">
        <v>426</v>
      </c>
      <c r="B91" s="1410" t="s">
        <v>347</v>
      </c>
      <c r="C91" s="1330" t="s">
        <v>390</v>
      </c>
      <c r="D91" s="1346"/>
      <c r="E91" s="1365"/>
      <c r="F91" s="1365"/>
      <c r="G91" s="1365"/>
      <c r="H91" s="1399"/>
      <c r="I91" s="1399"/>
      <c r="J91" s="1399"/>
      <c r="K91" s="1399"/>
      <c r="L91" s="1399"/>
      <c r="M91" s="1399"/>
      <c r="N91" s="1363"/>
      <c r="O91" s="1362"/>
      <c r="P91" s="1347"/>
      <c r="Q91" s="1343"/>
      <c r="R91" s="1343"/>
      <c r="S91" s="1343"/>
      <c r="T91" s="1343"/>
      <c r="U91" s="1343"/>
      <c r="V91" s="1343"/>
      <c r="W91" s="1343"/>
      <c r="X91" s="1343"/>
      <c r="Y91" s="1343"/>
      <c r="Z91" s="1343"/>
      <c r="AA91" s="1343"/>
      <c r="AB91" s="1343"/>
      <c r="AC91" s="1343"/>
      <c r="AD91" s="1343"/>
      <c r="AE91" s="1343"/>
      <c r="AF91" s="1343"/>
      <c r="AG91" s="1343"/>
      <c r="AH91" s="1343"/>
      <c r="AI91" s="1343"/>
      <c r="AJ91" s="1343"/>
      <c r="AK91" s="1343"/>
      <c r="AL91" s="1343"/>
      <c r="AM91" s="1343"/>
      <c r="AN91" s="1343"/>
      <c r="AO91" s="1343"/>
      <c r="AP91" s="1343"/>
      <c r="AQ91" s="1343"/>
      <c r="AR91" s="1343"/>
      <c r="AS91" s="1343"/>
      <c r="AT91" s="1343"/>
      <c r="AU91" s="1343"/>
      <c r="AV91" s="1343"/>
      <c r="AW91" s="1343"/>
      <c r="AX91" s="1343"/>
      <c r="AY91" s="1343"/>
      <c r="AZ91" s="1343"/>
      <c r="BA91" s="1343"/>
      <c r="BB91" s="1343"/>
      <c r="BC91" s="1343"/>
      <c r="BD91" s="1343"/>
      <c r="BE91" s="1343"/>
      <c r="BF91" s="1343"/>
      <c r="BG91" s="1343"/>
      <c r="BH91" s="1343"/>
      <c r="BI91" s="1343"/>
      <c r="BJ91" s="1343"/>
      <c r="BK91" s="1343"/>
      <c r="BL91" s="1343"/>
      <c r="BM91" s="1343"/>
      <c r="BN91" s="1343"/>
      <c r="BO91" s="1343"/>
      <c r="BP91" s="1343"/>
      <c r="BQ91" s="1343"/>
      <c r="BR91" s="1343"/>
      <c r="BS91" s="1343"/>
      <c r="BT91" s="1343"/>
      <c r="BU91" s="1343"/>
      <c r="BV91" s="1343"/>
      <c r="BW91" s="1343"/>
      <c r="BX91" s="1343"/>
      <c r="BY91" s="1343"/>
      <c r="BZ91" s="1343"/>
      <c r="CA91" s="1343"/>
      <c r="CB91" s="1343"/>
      <c r="CC91" s="1343"/>
      <c r="CD91" s="1343"/>
      <c r="CE91" s="1343"/>
      <c r="CF91" s="1343"/>
      <c r="CG91" s="1343"/>
      <c r="CH91" s="1343"/>
      <c r="CI91" s="1343"/>
      <c r="CJ91" s="1343"/>
      <c r="CK91" s="1343"/>
      <c r="CL91" s="1343"/>
      <c r="CM91" s="1343"/>
      <c r="CN91" s="1343"/>
      <c r="CO91" s="1343"/>
      <c r="CP91" s="1343"/>
      <c r="CQ91" s="1343"/>
      <c r="CR91" s="1343"/>
      <c r="CS91" s="1343"/>
      <c r="CT91" s="1343"/>
      <c r="CU91" s="1343"/>
      <c r="CV91" s="1343"/>
      <c r="CW91" s="1343"/>
      <c r="CX91" s="1343"/>
      <c r="CY91" s="1343"/>
      <c r="CZ91" s="1343"/>
      <c r="DA91" s="1343"/>
      <c r="DB91" s="1343"/>
      <c r="DC91" s="1343"/>
      <c r="DD91" s="1343"/>
      <c r="DE91" s="1343"/>
      <c r="DF91" s="1343"/>
      <c r="DG91" s="1343"/>
      <c r="DH91" s="1343"/>
      <c r="DI91" s="1343"/>
      <c r="DJ91" s="1343"/>
      <c r="DK91" s="1343"/>
      <c r="DL91" s="1343"/>
      <c r="DM91" s="1343"/>
      <c r="DN91" s="1343"/>
      <c r="DO91" s="1343"/>
      <c r="DP91" s="1343"/>
      <c r="DQ91" s="1343"/>
      <c r="DR91" s="1343"/>
      <c r="DS91" s="1343"/>
      <c r="DT91" s="1343"/>
      <c r="DU91" s="1343"/>
    </row>
    <row r="92" spans="1:125">
      <c r="A92" s="714" t="s">
        <v>911</v>
      </c>
      <c r="B92" s="946" t="s">
        <v>578</v>
      </c>
      <c r="C92" s="1328"/>
      <c r="D92" s="737" t="s">
        <v>236</v>
      </c>
      <c r="E92" s="782"/>
      <c r="F92" s="782"/>
      <c r="G92" s="782"/>
      <c r="H92" s="968">
        <v>1301.96</v>
      </c>
      <c r="I92" s="968">
        <v>96.15</v>
      </c>
      <c r="J92" s="968">
        <v>558</v>
      </c>
      <c r="K92" s="968"/>
      <c r="L92" s="968"/>
      <c r="M92" s="968">
        <v>2661.46</v>
      </c>
      <c r="N92" s="774">
        <f t="shared" ref="N92:N97" si="14">SUM(E92:M92)</f>
        <v>4617.57</v>
      </c>
      <c r="O92" s="771"/>
      <c r="P92" s="711">
        <f t="shared" si="12"/>
        <v>0</v>
      </c>
    </row>
    <row r="93" spans="1:125" s="597" customFormat="1">
      <c r="A93" s="957" t="s">
        <v>912</v>
      </c>
      <c r="B93" s="946" t="s">
        <v>364</v>
      </c>
      <c r="C93" s="1328"/>
      <c r="D93" s="737" t="s">
        <v>236</v>
      </c>
      <c r="E93" s="782">
        <f>5177+141</f>
        <v>5318</v>
      </c>
      <c r="F93" s="782">
        <f>8721+227</f>
        <v>8948</v>
      </c>
      <c r="G93" s="782">
        <f>3636+42</f>
        <v>3678</v>
      </c>
      <c r="H93" s="968">
        <v>12633.52</v>
      </c>
      <c r="I93" s="968">
        <v>1017.83</v>
      </c>
      <c r="J93" s="968">
        <v>9925</v>
      </c>
      <c r="K93" s="968">
        <v>21756</v>
      </c>
      <c r="L93" s="968">
        <v>3690</v>
      </c>
      <c r="M93" s="968">
        <v>25664.959999999999</v>
      </c>
      <c r="N93" s="774">
        <f t="shared" si="14"/>
        <v>92631.31</v>
      </c>
      <c r="O93" s="771"/>
      <c r="P93" s="711">
        <f t="shared" si="12"/>
        <v>0</v>
      </c>
      <c r="Q93" s="680"/>
      <c r="R93" s="680"/>
      <c r="S93" s="680"/>
      <c r="T93" s="680"/>
      <c r="U93" s="680"/>
      <c r="V93" s="680"/>
      <c r="W93" s="680"/>
      <c r="X93" s="680"/>
      <c r="Y93" s="680"/>
      <c r="Z93" s="680"/>
      <c r="AA93" s="680"/>
      <c r="AB93" s="680"/>
      <c r="AC93" s="680"/>
      <c r="AD93" s="680"/>
      <c r="AE93" s="680"/>
      <c r="AF93" s="680"/>
      <c r="AG93" s="680"/>
      <c r="AH93" s="680"/>
      <c r="AI93" s="680"/>
      <c r="AJ93" s="680"/>
      <c r="AK93" s="680"/>
      <c r="AL93" s="680"/>
      <c r="AM93" s="680"/>
      <c r="AN93" s="680"/>
      <c r="AO93" s="680"/>
      <c r="AP93" s="680"/>
      <c r="AQ93" s="680"/>
      <c r="AR93" s="680"/>
      <c r="AS93" s="680"/>
      <c r="AT93" s="680"/>
      <c r="AU93" s="680"/>
      <c r="AV93" s="680"/>
      <c r="AW93" s="680"/>
      <c r="AX93" s="680"/>
      <c r="AY93" s="680"/>
      <c r="AZ93" s="680"/>
      <c r="BA93" s="680"/>
      <c r="BB93" s="680"/>
      <c r="BC93" s="680"/>
      <c r="BD93" s="680"/>
      <c r="BE93" s="680"/>
      <c r="BF93" s="680"/>
      <c r="BG93" s="680"/>
      <c r="BH93" s="680"/>
      <c r="BI93" s="680"/>
      <c r="BJ93" s="680"/>
      <c r="BK93" s="680"/>
      <c r="BL93" s="680"/>
      <c r="BM93" s="680"/>
      <c r="BN93" s="680"/>
      <c r="BO93" s="680"/>
      <c r="BP93" s="680"/>
      <c r="BQ93" s="680"/>
      <c r="BR93" s="680"/>
      <c r="BS93" s="680"/>
      <c r="BT93" s="680"/>
      <c r="BU93" s="680"/>
      <c r="BV93" s="680"/>
      <c r="BW93" s="680"/>
      <c r="BX93" s="680"/>
      <c r="BY93" s="680"/>
      <c r="BZ93" s="680"/>
      <c r="CA93" s="680"/>
      <c r="CB93" s="680"/>
      <c r="CC93" s="680"/>
      <c r="CD93" s="680"/>
      <c r="CE93" s="680"/>
      <c r="CF93" s="680"/>
      <c r="CG93" s="680"/>
      <c r="CH93" s="680"/>
      <c r="CI93" s="680"/>
      <c r="CJ93" s="680"/>
      <c r="CK93" s="680"/>
      <c r="CL93" s="680"/>
      <c r="CM93" s="680"/>
      <c r="CN93" s="680"/>
      <c r="CO93" s="680"/>
      <c r="CP93" s="680"/>
      <c r="CQ93" s="680"/>
      <c r="CR93" s="680"/>
      <c r="CS93" s="680"/>
      <c r="CT93" s="680"/>
      <c r="CU93" s="680"/>
      <c r="CV93" s="680"/>
      <c r="CW93" s="680"/>
      <c r="CX93" s="680"/>
      <c r="CY93" s="680"/>
      <c r="CZ93" s="680"/>
      <c r="DA93" s="680"/>
      <c r="DB93" s="680"/>
      <c r="DC93" s="680"/>
      <c r="DD93" s="680"/>
      <c r="DE93" s="680"/>
      <c r="DF93" s="680"/>
      <c r="DG93" s="680"/>
      <c r="DH93" s="680"/>
      <c r="DI93" s="680"/>
      <c r="DJ93" s="680"/>
      <c r="DK93" s="680"/>
      <c r="DL93" s="680"/>
      <c r="DM93" s="680"/>
      <c r="DN93" s="680"/>
      <c r="DO93" s="680"/>
      <c r="DP93" s="680"/>
      <c r="DQ93" s="680"/>
      <c r="DR93" s="680"/>
      <c r="DS93" s="680"/>
      <c r="DT93" s="680"/>
      <c r="DU93" s="680"/>
    </row>
    <row r="94" spans="1:125" s="599" customFormat="1">
      <c r="A94" s="955" t="s">
        <v>427</v>
      </c>
      <c r="B94" s="1052" t="s">
        <v>543</v>
      </c>
      <c r="C94" s="1330" t="s">
        <v>391</v>
      </c>
      <c r="D94" s="702" t="s">
        <v>236</v>
      </c>
      <c r="E94" s="782">
        <v>370</v>
      </c>
      <c r="F94" s="782">
        <v>790</v>
      </c>
      <c r="G94" s="782">
        <v>160</v>
      </c>
      <c r="H94" s="968"/>
      <c r="I94" s="968"/>
      <c r="J94" s="968">
        <v>49.6</v>
      </c>
      <c r="K94" s="968">
        <v>8</v>
      </c>
      <c r="L94" s="968">
        <v>8</v>
      </c>
      <c r="M94" s="968"/>
      <c r="N94" s="774">
        <f t="shared" si="14"/>
        <v>1385.6</v>
      </c>
      <c r="O94" s="771"/>
      <c r="P94" s="711">
        <f t="shared" si="12"/>
        <v>0</v>
      </c>
      <c r="Q94" s="642"/>
      <c r="R94" s="642"/>
      <c r="S94" s="642"/>
      <c r="T94" s="642"/>
      <c r="U94" s="642"/>
      <c r="V94" s="642"/>
      <c r="W94" s="642"/>
      <c r="X94" s="642"/>
      <c r="Y94" s="642"/>
      <c r="Z94" s="642"/>
      <c r="AA94" s="642"/>
      <c r="AB94" s="642"/>
      <c r="AC94" s="642"/>
      <c r="AD94" s="642"/>
      <c r="AE94" s="642"/>
      <c r="AF94" s="642"/>
      <c r="AG94" s="642"/>
      <c r="AH94" s="642"/>
      <c r="AI94" s="642"/>
      <c r="AJ94" s="642"/>
      <c r="AK94" s="642"/>
      <c r="AL94" s="642"/>
      <c r="AM94" s="642"/>
      <c r="AN94" s="642"/>
      <c r="AO94" s="642"/>
      <c r="AP94" s="642"/>
      <c r="AQ94" s="642"/>
      <c r="AR94" s="642"/>
      <c r="AS94" s="642"/>
      <c r="AT94" s="642"/>
      <c r="AU94" s="642"/>
      <c r="AV94" s="642"/>
      <c r="AW94" s="642"/>
      <c r="AX94" s="642"/>
      <c r="AY94" s="642"/>
      <c r="AZ94" s="642"/>
      <c r="BA94" s="642"/>
      <c r="BB94" s="642"/>
      <c r="BC94" s="642"/>
      <c r="BD94" s="642"/>
      <c r="BE94" s="642"/>
      <c r="BF94" s="642"/>
      <c r="BG94" s="642"/>
      <c r="BH94" s="642"/>
      <c r="BI94" s="642"/>
      <c r="BJ94" s="642"/>
      <c r="BK94" s="642"/>
      <c r="BL94" s="642"/>
      <c r="BM94" s="642"/>
      <c r="BN94" s="642"/>
      <c r="BO94" s="642"/>
      <c r="BP94" s="642"/>
      <c r="BQ94" s="642"/>
      <c r="BR94" s="642"/>
      <c r="BS94" s="642"/>
      <c r="BT94" s="642"/>
      <c r="BU94" s="642"/>
      <c r="BV94" s="642"/>
      <c r="BW94" s="642"/>
      <c r="BX94" s="642"/>
      <c r="BY94" s="642"/>
      <c r="BZ94" s="642"/>
      <c r="CA94" s="642"/>
      <c r="CB94" s="642"/>
      <c r="CC94" s="642"/>
      <c r="CD94" s="642"/>
      <c r="CE94" s="642"/>
      <c r="CF94" s="642"/>
      <c r="CG94" s="642"/>
      <c r="CH94" s="642"/>
      <c r="CI94" s="642"/>
      <c r="CJ94" s="642"/>
      <c r="CK94" s="642"/>
      <c r="CL94" s="642"/>
      <c r="CM94" s="642"/>
      <c r="CN94" s="642"/>
      <c r="CO94" s="642"/>
      <c r="CP94" s="642"/>
      <c r="CQ94" s="642"/>
      <c r="CR94" s="642"/>
      <c r="CS94" s="642"/>
      <c r="CT94" s="642"/>
      <c r="CU94" s="642"/>
      <c r="CV94" s="642"/>
      <c r="CW94" s="642"/>
      <c r="CX94" s="642"/>
      <c r="CY94" s="642"/>
      <c r="CZ94" s="642"/>
      <c r="DA94" s="642"/>
      <c r="DB94" s="642"/>
      <c r="DC94" s="642"/>
      <c r="DD94" s="642"/>
      <c r="DE94" s="642"/>
      <c r="DF94" s="642"/>
      <c r="DG94" s="642"/>
      <c r="DH94" s="642"/>
      <c r="DI94" s="642"/>
      <c r="DJ94" s="642"/>
      <c r="DK94" s="642"/>
      <c r="DL94" s="642"/>
      <c r="DM94" s="642"/>
      <c r="DN94" s="642"/>
      <c r="DO94" s="642"/>
      <c r="DP94" s="642"/>
      <c r="DQ94" s="642"/>
      <c r="DR94" s="642"/>
      <c r="DS94" s="642"/>
      <c r="DT94" s="642"/>
      <c r="DU94" s="642"/>
    </row>
    <row r="95" spans="1:125" s="599" customFormat="1">
      <c r="A95" s="955" t="s">
        <v>428</v>
      </c>
      <c r="B95" s="1052" t="s">
        <v>581</v>
      </c>
      <c r="C95" s="1330" t="s">
        <v>391</v>
      </c>
      <c r="D95" s="702" t="s">
        <v>236</v>
      </c>
      <c r="E95" s="782">
        <v>32</v>
      </c>
      <c r="F95" s="782">
        <v>39</v>
      </c>
      <c r="G95" s="782">
        <v>18</v>
      </c>
      <c r="H95" s="968"/>
      <c r="I95" s="968"/>
      <c r="J95" s="968">
        <v>12.4</v>
      </c>
      <c r="K95" s="968">
        <v>2</v>
      </c>
      <c r="L95" s="968">
        <v>2</v>
      </c>
      <c r="M95" s="968"/>
      <c r="N95" s="774">
        <f t="shared" si="14"/>
        <v>105.4</v>
      </c>
      <c r="O95" s="771"/>
      <c r="P95" s="711">
        <f t="shared" si="12"/>
        <v>0</v>
      </c>
      <c r="Q95" s="642"/>
      <c r="R95" s="642"/>
      <c r="S95" s="642"/>
      <c r="T95" s="642"/>
      <c r="U95" s="642"/>
      <c r="V95" s="642"/>
      <c r="W95" s="642"/>
      <c r="X95" s="642"/>
      <c r="Y95" s="642"/>
      <c r="Z95" s="642"/>
      <c r="AA95" s="642"/>
      <c r="AB95" s="642"/>
      <c r="AC95" s="642"/>
      <c r="AD95" s="642"/>
      <c r="AE95" s="642"/>
      <c r="AF95" s="642"/>
      <c r="AG95" s="642"/>
      <c r="AH95" s="642"/>
      <c r="AI95" s="642"/>
      <c r="AJ95" s="642"/>
      <c r="AK95" s="642"/>
      <c r="AL95" s="642"/>
      <c r="AM95" s="642"/>
      <c r="AN95" s="642"/>
      <c r="AO95" s="642"/>
      <c r="AP95" s="642"/>
      <c r="AQ95" s="642"/>
      <c r="AR95" s="642"/>
      <c r="AS95" s="642"/>
      <c r="AT95" s="642"/>
      <c r="AU95" s="642"/>
      <c r="AV95" s="642"/>
      <c r="AW95" s="642"/>
      <c r="AX95" s="642"/>
      <c r="AY95" s="642"/>
      <c r="AZ95" s="642"/>
      <c r="BA95" s="642"/>
      <c r="BB95" s="642"/>
      <c r="BC95" s="642"/>
      <c r="BD95" s="642"/>
      <c r="BE95" s="642"/>
      <c r="BF95" s="642"/>
      <c r="BG95" s="642"/>
      <c r="BH95" s="642"/>
      <c r="BI95" s="642"/>
      <c r="BJ95" s="642"/>
      <c r="BK95" s="642"/>
      <c r="BL95" s="642"/>
      <c r="BM95" s="642"/>
      <c r="BN95" s="642"/>
      <c r="BO95" s="642"/>
      <c r="BP95" s="642"/>
      <c r="BQ95" s="642"/>
      <c r="BR95" s="642"/>
      <c r="BS95" s="642"/>
      <c r="BT95" s="642"/>
      <c r="BU95" s="642"/>
      <c r="BV95" s="642"/>
      <c r="BW95" s="642"/>
      <c r="BX95" s="642"/>
      <c r="BY95" s="642"/>
      <c r="BZ95" s="642"/>
      <c r="CA95" s="642"/>
      <c r="CB95" s="642"/>
      <c r="CC95" s="642"/>
      <c r="CD95" s="642"/>
      <c r="CE95" s="642"/>
      <c r="CF95" s="642"/>
      <c r="CG95" s="642"/>
      <c r="CH95" s="642"/>
      <c r="CI95" s="642"/>
      <c r="CJ95" s="642"/>
      <c r="CK95" s="642"/>
      <c r="CL95" s="642"/>
      <c r="CM95" s="642"/>
      <c r="CN95" s="642"/>
      <c r="CO95" s="642"/>
      <c r="CP95" s="642"/>
      <c r="CQ95" s="642"/>
      <c r="CR95" s="642"/>
      <c r="CS95" s="642"/>
      <c r="CT95" s="642"/>
      <c r="CU95" s="642"/>
      <c r="CV95" s="642"/>
      <c r="CW95" s="642"/>
      <c r="CX95" s="642"/>
      <c r="CY95" s="642"/>
      <c r="CZ95" s="642"/>
      <c r="DA95" s="642"/>
      <c r="DB95" s="642"/>
      <c r="DC95" s="642"/>
      <c r="DD95" s="642"/>
      <c r="DE95" s="642"/>
      <c r="DF95" s="642"/>
      <c r="DG95" s="642"/>
      <c r="DH95" s="642"/>
      <c r="DI95" s="642"/>
      <c r="DJ95" s="642"/>
      <c r="DK95" s="642"/>
      <c r="DL95" s="642"/>
      <c r="DM95" s="642"/>
      <c r="DN95" s="642"/>
      <c r="DO95" s="642"/>
      <c r="DP95" s="642"/>
      <c r="DQ95" s="642"/>
      <c r="DR95" s="642"/>
      <c r="DS95" s="642"/>
      <c r="DT95" s="642"/>
      <c r="DU95" s="642"/>
    </row>
    <row r="96" spans="1:125" s="599" customFormat="1">
      <c r="A96" s="955" t="s">
        <v>675</v>
      </c>
      <c r="B96" s="1052" t="s">
        <v>2521</v>
      </c>
      <c r="C96" s="1330" t="s">
        <v>418</v>
      </c>
      <c r="D96" s="702" t="s">
        <v>236</v>
      </c>
      <c r="E96" s="782">
        <f>15467+141</f>
        <v>15608</v>
      </c>
      <c r="F96" s="782">
        <f>17681+410</f>
        <v>18091</v>
      </c>
      <c r="G96" s="782">
        <f>7395+66</f>
        <v>7461</v>
      </c>
      <c r="H96" s="968">
        <v>25811.360000000001</v>
      </c>
      <c r="I96" s="968">
        <v>1754.88</v>
      </c>
      <c r="J96" s="968">
        <v>16055</v>
      </c>
      <c r="K96" s="968">
        <v>38180</v>
      </c>
      <c r="L96" s="968">
        <v>6330</v>
      </c>
      <c r="M96" s="968">
        <v>49149.88</v>
      </c>
      <c r="N96" s="774">
        <f t="shared" si="14"/>
        <v>178441.12</v>
      </c>
      <c r="O96" s="771"/>
      <c r="P96" s="711">
        <f t="shared" si="12"/>
        <v>0</v>
      </c>
      <c r="Q96" s="642"/>
      <c r="R96" s="642"/>
      <c r="S96" s="642"/>
      <c r="T96" s="642"/>
      <c r="U96" s="642"/>
      <c r="V96" s="642"/>
      <c r="W96" s="642"/>
      <c r="X96" s="642"/>
      <c r="Y96" s="642"/>
      <c r="Z96" s="642"/>
      <c r="AA96" s="642"/>
      <c r="AB96" s="642"/>
      <c r="AC96" s="642"/>
      <c r="AD96" s="642"/>
      <c r="AE96" s="642"/>
      <c r="AF96" s="642"/>
      <c r="AG96" s="642"/>
      <c r="AH96" s="642"/>
      <c r="AI96" s="642"/>
      <c r="AJ96" s="642"/>
      <c r="AK96" s="642"/>
      <c r="AL96" s="642"/>
      <c r="AM96" s="642"/>
      <c r="AN96" s="642"/>
      <c r="AO96" s="642"/>
      <c r="AP96" s="642"/>
      <c r="AQ96" s="642"/>
      <c r="AR96" s="642"/>
      <c r="AS96" s="642"/>
      <c r="AT96" s="642"/>
      <c r="AU96" s="642"/>
      <c r="AV96" s="642"/>
      <c r="AW96" s="642"/>
      <c r="AX96" s="642"/>
      <c r="AY96" s="642"/>
      <c r="AZ96" s="642"/>
      <c r="BA96" s="642"/>
      <c r="BB96" s="642"/>
      <c r="BC96" s="642"/>
      <c r="BD96" s="642"/>
      <c r="BE96" s="642"/>
      <c r="BF96" s="642"/>
      <c r="BG96" s="642"/>
      <c r="BH96" s="642"/>
      <c r="BI96" s="642"/>
      <c r="BJ96" s="642"/>
      <c r="BK96" s="642"/>
      <c r="BL96" s="642"/>
      <c r="BM96" s="642"/>
      <c r="BN96" s="642"/>
      <c r="BO96" s="642"/>
      <c r="BP96" s="642"/>
      <c r="BQ96" s="642"/>
      <c r="BR96" s="642"/>
      <c r="BS96" s="642"/>
      <c r="BT96" s="642"/>
      <c r="BU96" s="642"/>
      <c r="BV96" s="642"/>
      <c r="BW96" s="642"/>
      <c r="BX96" s="642"/>
      <c r="BY96" s="642"/>
      <c r="BZ96" s="642"/>
      <c r="CA96" s="642"/>
      <c r="CB96" s="642"/>
      <c r="CC96" s="642"/>
      <c r="CD96" s="642"/>
      <c r="CE96" s="642"/>
      <c r="CF96" s="642"/>
      <c r="CG96" s="642"/>
      <c r="CH96" s="642"/>
      <c r="CI96" s="642"/>
      <c r="CJ96" s="642"/>
      <c r="CK96" s="642"/>
      <c r="CL96" s="642"/>
      <c r="CM96" s="642"/>
      <c r="CN96" s="642"/>
      <c r="CO96" s="642"/>
      <c r="CP96" s="642"/>
      <c r="CQ96" s="642"/>
      <c r="CR96" s="642"/>
      <c r="CS96" s="642"/>
      <c r="CT96" s="642"/>
      <c r="CU96" s="642"/>
      <c r="CV96" s="642"/>
      <c r="CW96" s="642"/>
      <c r="CX96" s="642"/>
      <c r="CY96" s="642"/>
      <c r="CZ96" s="642"/>
      <c r="DA96" s="642"/>
      <c r="DB96" s="642"/>
      <c r="DC96" s="642"/>
      <c r="DD96" s="642"/>
      <c r="DE96" s="642"/>
      <c r="DF96" s="642"/>
      <c r="DG96" s="642"/>
      <c r="DH96" s="642"/>
      <c r="DI96" s="642"/>
      <c r="DJ96" s="642"/>
      <c r="DK96" s="642"/>
      <c r="DL96" s="642"/>
      <c r="DM96" s="642"/>
      <c r="DN96" s="642"/>
      <c r="DO96" s="642"/>
      <c r="DP96" s="642"/>
      <c r="DQ96" s="642"/>
      <c r="DR96" s="642"/>
      <c r="DS96" s="642"/>
      <c r="DT96" s="642"/>
      <c r="DU96" s="642"/>
    </row>
    <row r="97" spans="1:125" s="599" customFormat="1">
      <c r="A97" s="955" t="s">
        <v>2278</v>
      </c>
      <c r="B97" s="1052" t="s">
        <v>2279</v>
      </c>
      <c r="C97" s="1324" t="s">
        <v>2280</v>
      </c>
      <c r="D97" s="1151" t="s">
        <v>234</v>
      </c>
      <c r="E97" s="969">
        <v>100</v>
      </c>
      <c r="F97" s="969">
        <v>100</v>
      </c>
      <c r="G97" s="969">
        <v>100</v>
      </c>
      <c r="H97" s="969">
        <v>100</v>
      </c>
      <c r="I97" s="969">
        <v>100</v>
      </c>
      <c r="J97" s="969">
        <v>100</v>
      </c>
      <c r="K97" s="969">
        <v>100</v>
      </c>
      <c r="L97" s="969">
        <v>100</v>
      </c>
      <c r="M97" s="969">
        <v>100</v>
      </c>
      <c r="N97" s="774">
        <f t="shared" si="14"/>
        <v>900</v>
      </c>
      <c r="O97" s="771"/>
      <c r="P97" s="711">
        <f t="shared" si="12"/>
        <v>0</v>
      </c>
      <c r="Q97" s="642"/>
      <c r="R97" s="642"/>
      <c r="S97" s="642"/>
      <c r="T97" s="642"/>
      <c r="U97" s="642"/>
      <c r="V97" s="642"/>
      <c r="W97" s="642"/>
      <c r="X97" s="642"/>
      <c r="Y97" s="642"/>
      <c r="Z97" s="642"/>
      <c r="AA97" s="642"/>
      <c r="AB97" s="642"/>
      <c r="AC97" s="642"/>
      <c r="AD97" s="642"/>
      <c r="AE97" s="642"/>
      <c r="AF97" s="642"/>
      <c r="AG97" s="642"/>
      <c r="AH97" s="642"/>
      <c r="AI97" s="642"/>
      <c r="AJ97" s="642"/>
      <c r="AK97" s="642"/>
      <c r="AL97" s="642"/>
      <c r="AM97" s="642"/>
      <c r="AN97" s="642"/>
      <c r="AO97" s="642"/>
      <c r="AP97" s="642"/>
      <c r="AQ97" s="642"/>
      <c r="AR97" s="642"/>
      <c r="AS97" s="642"/>
      <c r="AT97" s="642"/>
      <c r="AU97" s="642"/>
      <c r="AV97" s="642"/>
      <c r="AW97" s="642"/>
      <c r="AX97" s="642"/>
      <c r="AY97" s="642"/>
      <c r="AZ97" s="642"/>
      <c r="BA97" s="642"/>
      <c r="BB97" s="642"/>
      <c r="BC97" s="642"/>
      <c r="BD97" s="642"/>
      <c r="BE97" s="642"/>
      <c r="BF97" s="642"/>
      <c r="BG97" s="642"/>
      <c r="BH97" s="642"/>
      <c r="BI97" s="642"/>
      <c r="BJ97" s="642"/>
      <c r="BK97" s="642"/>
      <c r="BL97" s="642"/>
      <c r="BM97" s="642"/>
      <c r="BN97" s="642"/>
      <c r="BO97" s="642"/>
      <c r="BP97" s="642"/>
      <c r="BQ97" s="642"/>
      <c r="BR97" s="642"/>
      <c r="BS97" s="642"/>
      <c r="BT97" s="642"/>
      <c r="BU97" s="642"/>
      <c r="BV97" s="642"/>
      <c r="BW97" s="642"/>
      <c r="BX97" s="642"/>
      <c r="BY97" s="642"/>
      <c r="BZ97" s="642"/>
      <c r="CA97" s="642"/>
      <c r="CB97" s="642"/>
      <c r="CC97" s="642"/>
      <c r="CD97" s="642"/>
      <c r="CE97" s="642"/>
      <c r="CF97" s="642"/>
      <c r="CG97" s="642"/>
      <c r="CH97" s="642"/>
      <c r="CI97" s="642"/>
      <c r="CJ97" s="642"/>
      <c r="CK97" s="642"/>
      <c r="CL97" s="642"/>
      <c r="CM97" s="642"/>
      <c r="CN97" s="642"/>
      <c r="CO97" s="642"/>
      <c r="CP97" s="642"/>
      <c r="CQ97" s="642"/>
      <c r="CR97" s="642"/>
      <c r="CS97" s="642"/>
      <c r="CT97" s="642"/>
      <c r="CU97" s="642"/>
      <c r="CV97" s="642"/>
      <c r="CW97" s="642"/>
      <c r="CX97" s="642"/>
      <c r="CY97" s="642"/>
      <c r="CZ97" s="642"/>
      <c r="DA97" s="642"/>
      <c r="DB97" s="642"/>
      <c r="DC97" s="642"/>
      <c r="DD97" s="642"/>
      <c r="DE97" s="642"/>
      <c r="DF97" s="642"/>
      <c r="DG97" s="642"/>
      <c r="DH97" s="642"/>
      <c r="DI97" s="642"/>
      <c r="DJ97" s="642"/>
      <c r="DK97" s="642"/>
      <c r="DL97" s="642"/>
      <c r="DM97" s="642"/>
      <c r="DN97" s="642"/>
      <c r="DO97" s="642"/>
      <c r="DP97" s="642"/>
      <c r="DQ97" s="642"/>
      <c r="DR97" s="642"/>
      <c r="DS97" s="642"/>
      <c r="DT97" s="642"/>
      <c r="DU97" s="642"/>
    </row>
    <row r="98" spans="1:125" s="592" customFormat="1" ht="16.5" customHeight="1">
      <c r="A98" s="715" t="s">
        <v>352</v>
      </c>
      <c r="B98" s="1056" t="s">
        <v>417</v>
      </c>
      <c r="C98" s="1326" t="s">
        <v>357</v>
      </c>
      <c r="D98" s="764"/>
      <c r="E98" s="706"/>
      <c r="F98" s="706"/>
      <c r="G98" s="706"/>
      <c r="H98" s="827"/>
      <c r="I98" s="827"/>
      <c r="J98" s="827"/>
      <c r="K98" s="827"/>
      <c r="L98" s="827"/>
      <c r="M98" s="827"/>
      <c r="N98" s="773"/>
      <c r="O98" s="773"/>
      <c r="P98" s="707">
        <f>SUM(P99:P116)</f>
        <v>0</v>
      </c>
      <c r="Q98" s="1320"/>
      <c r="R98" s="1320"/>
      <c r="S98" s="1320"/>
      <c r="T98" s="1320"/>
      <c r="U98" s="1320"/>
      <c r="V98" s="1320"/>
      <c r="W98" s="1320"/>
      <c r="X98" s="1320"/>
      <c r="Y98" s="1320"/>
      <c r="Z98" s="1320"/>
      <c r="AA98" s="1320"/>
      <c r="AB98" s="1320"/>
      <c r="AC98" s="1320"/>
      <c r="AD98" s="1320"/>
      <c r="AE98" s="1320"/>
      <c r="AF98" s="1320"/>
      <c r="AG98" s="1320"/>
      <c r="AH98" s="1320"/>
      <c r="AI98" s="1320"/>
      <c r="AJ98" s="1320"/>
      <c r="AK98" s="1320"/>
      <c r="AL98" s="1320"/>
      <c r="AM98" s="1320"/>
      <c r="AN98" s="1320"/>
      <c r="AO98" s="1320"/>
      <c r="AP98" s="1320"/>
      <c r="AQ98" s="1320"/>
      <c r="AR98" s="1320"/>
      <c r="AS98" s="1320"/>
      <c r="AT98" s="1320"/>
      <c r="AU98" s="1320"/>
      <c r="AV98" s="1320"/>
      <c r="AW98" s="1320"/>
      <c r="AX98" s="1320"/>
      <c r="AY98" s="1320"/>
      <c r="AZ98" s="1320"/>
      <c r="BA98" s="1320"/>
      <c r="BB98" s="1320"/>
      <c r="BC98" s="1320"/>
      <c r="BD98" s="1320"/>
      <c r="BE98" s="1320"/>
      <c r="BF98" s="1320"/>
      <c r="BG98" s="1320"/>
      <c r="BH98" s="1320"/>
      <c r="BI98" s="1320"/>
      <c r="BJ98" s="1320"/>
      <c r="BK98" s="1320"/>
      <c r="BL98" s="1320"/>
      <c r="BM98" s="1320"/>
      <c r="BN98" s="1320"/>
      <c r="BO98" s="1320"/>
      <c r="BP98" s="1320"/>
      <c r="BQ98" s="1320"/>
      <c r="BR98" s="1320"/>
      <c r="BS98" s="1320"/>
      <c r="BT98" s="1320"/>
      <c r="BU98" s="1320"/>
      <c r="BV98" s="1320"/>
      <c r="BW98" s="1320"/>
      <c r="BX98" s="1320"/>
      <c r="BY98" s="1320"/>
      <c r="BZ98" s="1320"/>
      <c r="CA98" s="1320"/>
      <c r="CB98" s="1320"/>
      <c r="CC98" s="1320"/>
      <c r="CD98" s="1320"/>
      <c r="CE98" s="1320"/>
      <c r="CF98" s="1320"/>
      <c r="CG98" s="1320"/>
      <c r="CH98" s="1320"/>
      <c r="CI98" s="1320"/>
      <c r="CJ98" s="1320"/>
      <c r="CK98" s="1320"/>
      <c r="CL98" s="1320"/>
      <c r="CM98" s="1320"/>
      <c r="CN98" s="1320"/>
      <c r="CO98" s="1320"/>
      <c r="CP98" s="1320"/>
      <c r="CQ98" s="1320"/>
      <c r="CR98" s="1320"/>
      <c r="CS98" s="1320"/>
      <c r="CT98" s="1320"/>
      <c r="CU98" s="1320"/>
      <c r="CV98" s="1320"/>
      <c r="CW98" s="1320"/>
      <c r="CX98" s="1320"/>
      <c r="CY98" s="1320"/>
      <c r="CZ98" s="1320"/>
      <c r="DA98" s="1320"/>
      <c r="DB98" s="1320"/>
      <c r="DC98" s="1320"/>
      <c r="DD98" s="1320"/>
      <c r="DE98" s="1320"/>
      <c r="DF98" s="1320"/>
      <c r="DG98" s="1320"/>
      <c r="DH98" s="1320"/>
      <c r="DI98" s="1320"/>
      <c r="DJ98" s="1320"/>
      <c r="DK98" s="1320"/>
      <c r="DL98" s="1320"/>
      <c r="DM98" s="1320"/>
      <c r="DN98" s="1320"/>
      <c r="DO98" s="1320"/>
      <c r="DP98" s="1320"/>
      <c r="DQ98" s="1320"/>
      <c r="DR98" s="1320"/>
      <c r="DS98" s="1320"/>
      <c r="DT98" s="1320"/>
      <c r="DU98" s="1320"/>
    </row>
    <row r="99" spans="1:125" s="596" customFormat="1">
      <c r="A99" s="717" t="s">
        <v>467</v>
      </c>
      <c r="B99" s="1052" t="s">
        <v>658</v>
      </c>
      <c r="C99" s="1325" t="s">
        <v>413</v>
      </c>
      <c r="D99" s="702" t="s">
        <v>11</v>
      </c>
      <c r="E99" s="782">
        <v>10</v>
      </c>
      <c r="F99" s="782">
        <v>10</v>
      </c>
      <c r="G99" s="782">
        <v>10</v>
      </c>
      <c r="H99" s="796"/>
      <c r="I99" s="796"/>
      <c r="J99" s="796"/>
      <c r="K99" s="796">
        <v>96</v>
      </c>
      <c r="L99" s="796">
        <v>30</v>
      </c>
      <c r="M99" s="796"/>
      <c r="N99" s="774">
        <f>SUM(E99:M99)</f>
        <v>156</v>
      </c>
      <c r="O99" s="771"/>
      <c r="P99" s="711">
        <f t="shared" si="12"/>
        <v>0</v>
      </c>
      <c r="Q99" s="642"/>
      <c r="R99" s="642"/>
      <c r="S99" s="642"/>
      <c r="T99" s="642"/>
      <c r="U99" s="642"/>
      <c r="V99" s="642"/>
      <c r="W99" s="642"/>
      <c r="X99" s="642"/>
      <c r="Y99" s="642"/>
      <c r="Z99" s="642"/>
      <c r="AA99" s="642"/>
      <c r="AB99" s="642"/>
      <c r="AC99" s="642"/>
      <c r="AD99" s="642"/>
      <c r="AE99" s="642"/>
      <c r="AF99" s="642"/>
      <c r="AG99" s="642"/>
      <c r="AH99" s="642"/>
      <c r="AI99" s="642"/>
      <c r="AJ99" s="642"/>
      <c r="AK99" s="642"/>
      <c r="AL99" s="642"/>
      <c r="AM99" s="642"/>
      <c r="AN99" s="642"/>
      <c r="AO99" s="642"/>
      <c r="AP99" s="642"/>
      <c r="AQ99" s="642"/>
      <c r="AR99" s="642"/>
      <c r="AS99" s="642"/>
      <c r="AT99" s="642"/>
      <c r="AU99" s="642"/>
      <c r="AV99" s="642"/>
      <c r="AW99" s="642"/>
      <c r="AX99" s="642"/>
      <c r="AY99" s="642"/>
      <c r="AZ99" s="642"/>
      <c r="BA99" s="642"/>
      <c r="BB99" s="642"/>
      <c r="BC99" s="642"/>
      <c r="BD99" s="642"/>
      <c r="BE99" s="642"/>
      <c r="BF99" s="642"/>
      <c r="BG99" s="642"/>
      <c r="BH99" s="642"/>
      <c r="BI99" s="642"/>
      <c r="BJ99" s="642"/>
      <c r="BK99" s="642"/>
      <c r="BL99" s="642"/>
      <c r="BM99" s="642"/>
      <c r="BN99" s="642"/>
      <c r="BO99" s="642"/>
      <c r="BP99" s="642"/>
      <c r="BQ99" s="642"/>
      <c r="BR99" s="642"/>
      <c r="BS99" s="642"/>
      <c r="BT99" s="642"/>
      <c r="BU99" s="642"/>
      <c r="BV99" s="642"/>
      <c r="BW99" s="642"/>
      <c r="BX99" s="642"/>
      <c r="BY99" s="642"/>
      <c r="BZ99" s="642"/>
      <c r="CA99" s="642"/>
      <c r="CB99" s="642"/>
      <c r="CC99" s="642"/>
      <c r="CD99" s="642"/>
      <c r="CE99" s="642"/>
      <c r="CF99" s="642"/>
      <c r="CG99" s="642"/>
      <c r="CH99" s="642"/>
      <c r="CI99" s="642"/>
      <c r="CJ99" s="642"/>
      <c r="CK99" s="642"/>
      <c r="CL99" s="642"/>
      <c r="CM99" s="642"/>
      <c r="CN99" s="642"/>
      <c r="CO99" s="642"/>
      <c r="CP99" s="642"/>
      <c r="CQ99" s="642"/>
      <c r="CR99" s="642"/>
      <c r="CS99" s="642"/>
      <c r="CT99" s="642"/>
      <c r="CU99" s="642"/>
      <c r="CV99" s="642"/>
      <c r="CW99" s="642"/>
      <c r="CX99" s="642"/>
      <c r="CY99" s="642"/>
      <c r="CZ99" s="642"/>
      <c r="DA99" s="642"/>
      <c r="DB99" s="642"/>
      <c r="DC99" s="642"/>
      <c r="DD99" s="642"/>
      <c r="DE99" s="642"/>
      <c r="DF99" s="642"/>
      <c r="DG99" s="642"/>
      <c r="DH99" s="642"/>
      <c r="DI99" s="642"/>
      <c r="DJ99" s="642"/>
      <c r="DK99" s="642"/>
      <c r="DL99" s="642"/>
      <c r="DM99" s="642"/>
      <c r="DN99" s="642"/>
      <c r="DO99" s="642"/>
      <c r="DP99" s="642"/>
      <c r="DQ99" s="642"/>
      <c r="DR99" s="642"/>
      <c r="DS99" s="642"/>
      <c r="DT99" s="642"/>
      <c r="DU99" s="642"/>
    </row>
    <row r="100" spans="1:125" s="596" customFormat="1">
      <c r="A100" s="717" t="s">
        <v>468</v>
      </c>
      <c r="B100" s="1052" t="s">
        <v>960</v>
      </c>
      <c r="C100" s="1325"/>
      <c r="D100" s="702"/>
      <c r="E100" s="782"/>
      <c r="F100" s="782"/>
      <c r="G100" s="782"/>
      <c r="H100" s="796"/>
      <c r="I100" s="796"/>
      <c r="J100" s="796"/>
      <c r="K100" s="796"/>
      <c r="L100" s="796"/>
      <c r="M100" s="796"/>
      <c r="N100" s="774"/>
      <c r="O100" s="775"/>
      <c r="P100" s="711"/>
      <c r="Q100" s="642"/>
      <c r="R100" s="642"/>
      <c r="S100" s="642"/>
      <c r="T100" s="642"/>
      <c r="U100" s="642"/>
      <c r="V100" s="642"/>
      <c r="W100" s="642"/>
      <c r="X100" s="642"/>
      <c r="Y100" s="642"/>
      <c r="Z100" s="642"/>
      <c r="AA100" s="642"/>
      <c r="AB100" s="642"/>
      <c r="AC100" s="642"/>
      <c r="AD100" s="642"/>
      <c r="AE100" s="642"/>
      <c r="AF100" s="642"/>
      <c r="AG100" s="642"/>
      <c r="AH100" s="642"/>
      <c r="AI100" s="642"/>
      <c r="AJ100" s="642"/>
      <c r="AK100" s="642"/>
      <c r="AL100" s="642"/>
      <c r="AM100" s="642"/>
      <c r="AN100" s="642"/>
      <c r="AO100" s="642"/>
      <c r="AP100" s="642"/>
      <c r="AQ100" s="642"/>
      <c r="AR100" s="642"/>
      <c r="AS100" s="642"/>
      <c r="AT100" s="642"/>
      <c r="AU100" s="642"/>
      <c r="AV100" s="642"/>
      <c r="AW100" s="642"/>
      <c r="AX100" s="642"/>
      <c r="AY100" s="642"/>
      <c r="AZ100" s="642"/>
      <c r="BA100" s="642"/>
      <c r="BB100" s="642"/>
      <c r="BC100" s="642"/>
      <c r="BD100" s="642"/>
      <c r="BE100" s="642"/>
      <c r="BF100" s="642"/>
      <c r="BG100" s="642"/>
      <c r="BH100" s="642"/>
      <c r="BI100" s="642"/>
      <c r="BJ100" s="642"/>
      <c r="BK100" s="642"/>
      <c r="BL100" s="642"/>
      <c r="BM100" s="642"/>
      <c r="BN100" s="642"/>
      <c r="BO100" s="642"/>
      <c r="BP100" s="642"/>
      <c r="BQ100" s="642"/>
      <c r="BR100" s="642"/>
      <c r="BS100" s="642"/>
      <c r="BT100" s="642"/>
      <c r="BU100" s="642"/>
      <c r="BV100" s="642"/>
      <c r="BW100" s="642"/>
      <c r="BX100" s="642"/>
      <c r="BY100" s="642"/>
      <c r="BZ100" s="642"/>
      <c r="CA100" s="642"/>
      <c r="CB100" s="642"/>
      <c r="CC100" s="642"/>
      <c r="CD100" s="642"/>
      <c r="CE100" s="642"/>
      <c r="CF100" s="642"/>
      <c r="CG100" s="642"/>
      <c r="CH100" s="642"/>
      <c r="CI100" s="642"/>
      <c r="CJ100" s="642"/>
      <c r="CK100" s="642"/>
      <c r="CL100" s="642"/>
      <c r="CM100" s="642"/>
      <c r="CN100" s="642"/>
      <c r="CO100" s="642"/>
      <c r="CP100" s="642"/>
      <c r="CQ100" s="642"/>
      <c r="CR100" s="642"/>
      <c r="CS100" s="642"/>
      <c r="CT100" s="642"/>
      <c r="CU100" s="642"/>
      <c r="CV100" s="642"/>
      <c r="CW100" s="642"/>
      <c r="CX100" s="642"/>
      <c r="CY100" s="642"/>
      <c r="CZ100" s="642"/>
      <c r="DA100" s="642"/>
      <c r="DB100" s="642"/>
      <c r="DC100" s="642"/>
      <c r="DD100" s="642"/>
      <c r="DE100" s="642"/>
      <c r="DF100" s="642"/>
      <c r="DG100" s="642"/>
      <c r="DH100" s="642"/>
      <c r="DI100" s="642"/>
      <c r="DJ100" s="642"/>
      <c r="DK100" s="642"/>
      <c r="DL100" s="642"/>
      <c r="DM100" s="642"/>
      <c r="DN100" s="642"/>
      <c r="DO100" s="642"/>
      <c r="DP100" s="642"/>
      <c r="DQ100" s="642"/>
      <c r="DR100" s="642"/>
      <c r="DS100" s="642"/>
      <c r="DT100" s="642"/>
      <c r="DU100" s="642"/>
    </row>
    <row r="101" spans="1:125" s="1340" customFormat="1">
      <c r="A101" s="1393" t="s">
        <v>676</v>
      </c>
      <c r="B101" s="1388" t="s">
        <v>2438</v>
      </c>
      <c r="C101" s="1328" t="s">
        <v>469</v>
      </c>
      <c r="D101" s="1353" t="s">
        <v>18</v>
      </c>
      <c r="E101" s="1365">
        <v>1</v>
      </c>
      <c r="F101" s="1365">
        <v>8</v>
      </c>
      <c r="G101" s="1365">
        <v>1</v>
      </c>
      <c r="H101" s="1399">
        <v>6</v>
      </c>
      <c r="I101" s="1399">
        <v>8</v>
      </c>
      <c r="J101" s="1399">
        <v>9</v>
      </c>
      <c r="K101" s="1399"/>
      <c r="L101" s="1399">
        <v>5</v>
      </c>
      <c r="M101" s="1399">
        <v>35</v>
      </c>
      <c r="N101" s="1363">
        <f t="shared" ref="N101:N112" si="15">SUM(E101:M101)</f>
        <v>73</v>
      </c>
      <c r="O101" s="1362"/>
      <c r="P101" s="1347">
        <f t="shared" si="12"/>
        <v>0</v>
      </c>
      <c r="Q101" s="1345"/>
      <c r="R101" s="1345"/>
      <c r="S101" s="1345"/>
      <c r="T101" s="1345"/>
      <c r="U101" s="1345"/>
      <c r="V101" s="1345"/>
      <c r="W101" s="1345"/>
      <c r="X101" s="1345"/>
      <c r="Y101" s="1345"/>
      <c r="Z101" s="1345"/>
      <c r="AA101" s="1345"/>
      <c r="AB101" s="1345"/>
      <c r="AC101" s="1345"/>
      <c r="AD101" s="1345"/>
      <c r="AE101" s="1345"/>
      <c r="AF101" s="1345"/>
      <c r="AG101" s="1345"/>
      <c r="AH101" s="1345"/>
      <c r="AI101" s="1345"/>
      <c r="AJ101" s="1345"/>
      <c r="AK101" s="1345"/>
      <c r="AL101" s="1345"/>
      <c r="AM101" s="1345"/>
      <c r="AN101" s="1345"/>
      <c r="AO101" s="1345"/>
      <c r="AP101" s="1345"/>
      <c r="AQ101" s="1345"/>
      <c r="AR101" s="1345"/>
      <c r="AS101" s="1345"/>
      <c r="AT101" s="1345"/>
      <c r="AU101" s="1345"/>
      <c r="AV101" s="1345"/>
      <c r="AW101" s="1345"/>
      <c r="AX101" s="1345"/>
      <c r="AY101" s="1345"/>
      <c r="AZ101" s="1345"/>
      <c r="BA101" s="1345"/>
      <c r="BB101" s="1345"/>
      <c r="BC101" s="1345"/>
      <c r="BD101" s="1345"/>
      <c r="BE101" s="1345"/>
      <c r="BF101" s="1345"/>
      <c r="BG101" s="1345"/>
      <c r="BH101" s="1345"/>
      <c r="BI101" s="1345"/>
      <c r="BJ101" s="1345"/>
      <c r="BK101" s="1345"/>
      <c r="BL101" s="1345"/>
      <c r="BM101" s="1345"/>
      <c r="BN101" s="1345"/>
      <c r="BO101" s="1345"/>
      <c r="BP101" s="1345"/>
      <c r="BQ101" s="1345"/>
      <c r="BR101" s="1345"/>
      <c r="BS101" s="1345"/>
      <c r="BT101" s="1345"/>
      <c r="BU101" s="1345"/>
      <c r="BV101" s="1345"/>
      <c r="BW101" s="1345"/>
      <c r="BX101" s="1345"/>
      <c r="BY101" s="1345"/>
      <c r="BZ101" s="1345"/>
      <c r="CA101" s="1345"/>
      <c r="CB101" s="1345"/>
      <c r="CC101" s="1345"/>
      <c r="CD101" s="1345"/>
      <c r="CE101" s="1345"/>
      <c r="CF101" s="1345"/>
      <c r="CG101" s="1345"/>
      <c r="CH101" s="1345"/>
      <c r="CI101" s="1345"/>
      <c r="CJ101" s="1345"/>
      <c r="CK101" s="1345"/>
      <c r="CL101" s="1345"/>
      <c r="CM101" s="1345"/>
      <c r="CN101" s="1345"/>
      <c r="CO101" s="1345"/>
      <c r="CP101" s="1345"/>
      <c r="CQ101" s="1345"/>
      <c r="CR101" s="1345"/>
      <c r="CS101" s="1345"/>
      <c r="CT101" s="1345"/>
      <c r="CU101" s="1345"/>
      <c r="CV101" s="1345"/>
      <c r="CW101" s="1345"/>
      <c r="CX101" s="1345"/>
      <c r="CY101" s="1345"/>
      <c r="CZ101" s="1345"/>
      <c r="DA101" s="1345"/>
      <c r="DB101" s="1345"/>
      <c r="DC101" s="1345"/>
      <c r="DD101" s="1345"/>
      <c r="DE101" s="1345"/>
      <c r="DF101" s="1345"/>
      <c r="DG101" s="1345"/>
      <c r="DH101" s="1345"/>
      <c r="DI101" s="1345"/>
      <c r="DJ101" s="1345"/>
      <c r="DK101" s="1345"/>
      <c r="DL101" s="1345"/>
      <c r="DM101" s="1345"/>
      <c r="DN101" s="1345"/>
      <c r="DO101" s="1345"/>
      <c r="DP101" s="1345"/>
      <c r="DQ101" s="1345"/>
      <c r="DR101" s="1345"/>
      <c r="DS101" s="1345"/>
      <c r="DT101" s="1345"/>
      <c r="DU101" s="1345"/>
    </row>
    <row r="102" spans="1:125" s="1340" customFormat="1">
      <c r="A102" s="1393" t="s">
        <v>677</v>
      </c>
      <c r="B102" s="1388" t="s">
        <v>2439</v>
      </c>
      <c r="C102" s="1328" t="s">
        <v>469</v>
      </c>
      <c r="D102" s="1353" t="s">
        <v>18</v>
      </c>
      <c r="E102" s="1365"/>
      <c r="F102" s="1365"/>
      <c r="G102" s="1365"/>
      <c r="H102" s="1399"/>
      <c r="I102" s="1399"/>
      <c r="J102" s="1399"/>
      <c r="K102" s="1399">
        <v>2</v>
      </c>
      <c r="L102" s="1399"/>
      <c r="M102" s="1399"/>
      <c r="N102" s="1363">
        <f t="shared" si="15"/>
        <v>2</v>
      </c>
      <c r="O102" s="1362"/>
      <c r="P102" s="1347">
        <f t="shared" si="12"/>
        <v>0</v>
      </c>
      <c r="Q102" s="1345"/>
      <c r="R102" s="1345"/>
      <c r="S102" s="1345"/>
      <c r="T102" s="1345"/>
      <c r="U102" s="1345"/>
      <c r="V102" s="1345"/>
      <c r="W102" s="1345"/>
      <c r="X102" s="1345"/>
      <c r="Y102" s="1345"/>
      <c r="Z102" s="1345"/>
      <c r="AA102" s="1345"/>
      <c r="AB102" s="1345"/>
      <c r="AC102" s="1345"/>
      <c r="AD102" s="1345"/>
      <c r="AE102" s="1345"/>
      <c r="AF102" s="1345"/>
      <c r="AG102" s="1345"/>
      <c r="AH102" s="1345"/>
      <c r="AI102" s="1345"/>
      <c r="AJ102" s="1345"/>
      <c r="AK102" s="1345"/>
      <c r="AL102" s="1345"/>
      <c r="AM102" s="1345"/>
      <c r="AN102" s="1345"/>
      <c r="AO102" s="1345"/>
      <c r="AP102" s="1345"/>
      <c r="AQ102" s="1345"/>
      <c r="AR102" s="1345"/>
      <c r="AS102" s="1345"/>
      <c r="AT102" s="1345"/>
      <c r="AU102" s="1345"/>
      <c r="AV102" s="1345"/>
      <c r="AW102" s="1345"/>
      <c r="AX102" s="1345"/>
      <c r="AY102" s="1345"/>
      <c r="AZ102" s="1345"/>
      <c r="BA102" s="1345"/>
      <c r="BB102" s="1345"/>
      <c r="BC102" s="1345"/>
      <c r="BD102" s="1345"/>
      <c r="BE102" s="1345"/>
      <c r="BF102" s="1345"/>
      <c r="BG102" s="1345"/>
      <c r="BH102" s="1345"/>
      <c r="BI102" s="1345"/>
      <c r="BJ102" s="1345"/>
      <c r="BK102" s="1345"/>
      <c r="BL102" s="1345"/>
      <c r="BM102" s="1345"/>
      <c r="BN102" s="1345"/>
      <c r="BO102" s="1345"/>
      <c r="BP102" s="1345"/>
      <c r="BQ102" s="1345"/>
      <c r="BR102" s="1345"/>
      <c r="BS102" s="1345"/>
      <c r="BT102" s="1345"/>
      <c r="BU102" s="1345"/>
      <c r="BV102" s="1345"/>
      <c r="BW102" s="1345"/>
      <c r="BX102" s="1345"/>
      <c r="BY102" s="1345"/>
      <c r="BZ102" s="1345"/>
      <c r="CA102" s="1345"/>
      <c r="CB102" s="1345"/>
      <c r="CC102" s="1345"/>
      <c r="CD102" s="1345"/>
      <c r="CE102" s="1345"/>
      <c r="CF102" s="1345"/>
      <c r="CG102" s="1345"/>
      <c r="CH102" s="1345"/>
      <c r="CI102" s="1345"/>
      <c r="CJ102" s="1345"/>
      <c r="CK102" s="1345"/>
      <c r="CL102" s="1345"/>
      <c r="CM102" s="1345"/>
      <c r="CN102" s="1345"/>
      <c r="CO102" s="1345"/>
      <c r="CP102" s="1345"/>
      <c r="CQ102" s="1345"/>
      <c r="CR102" s="1345"/>
      <c r="CS102" s="1345"/>
      <c r="CT102" s="1345"/>
      <c r="CU102" s="1345"/>
      <c r="CV102" s="1345"/>
      <c r="CW102" s="1345"/>
      <c r="CX102" s="1345"/>
      <c r="CY102" s="1345"/>
      <c r="CZ102" s="1345"/>
      <c r="DA102" s="1345"/>
      <c r="DB102" s="1345"/>
      <c r="DC102" s="1345"/>
      <c r="DD102" s="1345"/>
      <c r="DE102" s="1345"/>
      <c r="DF102" s="1345"/>
      <c r="DG102" s="1345"/>
      <c r="DH102" s="1345"/>
      <c r="DI102" s="1345"/>
      <c r="DJ102" s="1345"/>
      <c r="DK102" s="1345"/>
      <c r="DL102" s="1345"/>
      <c r="DM102" s="1345"/>
      <c r="DN102" s="1345"/>
      <c r="DO102" s="1345"/>
      <c r="DP102" s="1345"/>
      <c r="DQ102" s="1345"/>
      <c r="DR102" s="1345"/>
      <c r="DS102" s="1345"/>
      <c r="DT102" s="1345"/>
      <c r="DU102" s="1345"/>
    </row>
    <row r="103" spans="1:125" s="1340" customFormat="1">
      <c r="A103" s="1393" t="s">
        <v>699</v>
      </c>
      <c r="B103" s="1388" t="s">
        <v>2440</v>
      </c>
      <c r="C103" s="1328" t="s">
        <v>469</v>
      </c>
      <c r="D103" s="1353" t="s">
        <v>18</v>
      </c>
      <c r="E103" s="1365"/>
      <c r="F103" s="1365" t="s">
        <v>532</v>
      </c>
      <c r="G103" s="1365" t="s">
        <v>532</v>
      </c>
      <c r="H103" s="1399">
        <v>3</v>
      </c>
      <c r="I103" s="1399"/>
      <c r="J103" s="1399"/>
      <c r="K103" s="1399"/>
      <c r="L103" s="1399"/>
      <c r="M103" s="1399">
        <v>8</v>
      </c>
      <c r="N103" s="1363">
        <f t="shared" si="15"/>
        <v>11</v>
      </c>
      <c r="O103" s="1362"/>
      <c r="P103" s="1347">
        <f t="shared" si="12"/>
        <v>0</v>
      </c>
      <c r="Q103" s="1345"/>
      <c r="R103" s="1345"/>
      <c r="S103" s="1345"/>
      <c r="T103" s="1345"/>
      <c r="U103" s="1345"/>
      <c r="V103" s="1345"/>
      <c r="W103" s="1345"/>
      <c r="X103" s="1345"/>
      <c r="Y103" s="1345"/>
      <c r="Z103" s="1345"/>
      <c r="AA103" s="1345"/>
      <c r="AB103" s="1345"/>
      <c r="AC103" s="1345"/>
      <c r="AD103" s="1345"/>
      <c r="AE103" s="1345"/>
      <c r="AF103" s="1345"/>
      <c r="AG103" s="1345"/>
      <c r="AH103" s="1345"/>
      <c r="AI103" s="1345"/>
      <c r="AJ103" s="1345"/>
      <c r="AK103" s="1345"/>
      <c r="AL103" s="1345"/>
      <c r="AM103" s="1345"/>
      <c r="AN103" s="1345"/>
      <c r="AO103" s="1345"/>
      <c r="AP103" s="1345"/>
      <c r="AQ103" s="1345"/>
      <c r="AR103" s="1345"/>
      <c r="AS103" s="1345"/>
      <c r="AT103" s="1345"/>
      <c r="AU103" s="1345"/>
      <c r="AV103" s="1345"/>
      <c r="AW103" s="1345"/>
      <c r="AX103" s="1345"/>
      <c r="AY103" s="1345"/>
      <c r="AZ103" s="1345"/>
      <c r="BA103" s="1345"/>
      <c r="BB103" s="1345"/>
      <c r="BC103" s="1345"/>
      <c r="BD103" s="1345"/>
      <c r="BE103" s="1345"/>
      <c r="BF103" s="1345"/>
      <c r="BG103" s="1345"/>
      <c r="BH103" s="1345"/>
      <c r="BI103" s="1345"/>
      <c r="BJ103" s="1345"/>
      <c r="BK103" s="1345"/>
      <c r="BL103" s="1345"/>
      <c r="BM103" s="1345"/>
      <c r="BN103" s="1345"/>
      <c r="BO103" s="1345"/>
      <c r="BP103" s="1345"/>
      <c r="BQ103" s="1345"/>
      <c r="BR103" s="1345"/>
      <c r="BS103" s="1345"/>
      <c r="BT103" s="1345"/>
      <c r="BU103" s="1345"/>
      <c r="BV103" s="1345"/>
      <c r="BW103" s="1345"/>
      <c r="BX103" s="1345"/>
      <c r="BY103" s="1345"/>
      <c r="BZ103" s="1345"/>
      <c r="CA103" s="1345"/>
      <c r="CB103" s="1345"/>
      <c r="CC103" s="1345"/>
      <c r="CD103" s="1345"/>
      <c r="CE103" s="1345"/>
      <c r="CF103" s="1345"/>
      <c r="CG103" s="1345"/>
      <c r="CH103" s="1345"/>
      <c r="CI103" s="1345"/>
      <c r="CJ103" s="1345"/>
      <c r="CK103" s="1345"/>
      <c r="CL103" s="1345"/>
      <c r="CM103" s="1345"/>
      <c r="CN103" s="1345"/>
      <c r="CO103" s="1345"/>
      <c r="CP103" s="1345"/>
      <c r="CQ103" s="1345"/>
      <c r="CR103" s="1345"/>
      <c r="CS103" s="1345"/>
      <c r="CT103" s="1345"/>
      <c r="CU103" s="1345"/>
      <c r="CV103" s="1345"/>
      <c r="CW103" s="1345"/>
      <c r="CX103" s="1345"/>
      <c r="CY103" s="1345"/>
      <c r="CZ103" s="1345"/>
      <c r="DA103" s="1345"/>
      <c r="DB103" s="1345"/>
      <c r="DC103" s="1345"/>
      <c r="DD103" s="1345"/>
      <c r="DE103" s="1345"/>
      <c r="DF103" s="1345"/>
      <c r="DG103" s="1345"/>
      <c r="DH103" s="1345"/>
      <c r="DI103" s="1345"/>
      <c r="DJ103" s="1345"/>
      <c r="DK103" s="1345"/>
      <c r="DL103" s="1345"/>
      <c r="DM103" s="1345"/>
      <c r="DN103" s="1345"/>
      <c r="DO103" s="1345"/>
      <c r="DP103" s="1345"/>
      <c r="DQ103" s="1345"/>
      <c r="DR103" s="1345"/>
      <c r="DS103" s="1345"/>
      <c r="DT103" s="1345"/>
      <c r="DU103" s="1345"/>
    </row>
    <row r="104" spans="1:125" s="1339" customFormat="1">
      <c r="A104" s="1350" t="s">
        <v>468</v>
      </c>
      <c r="B104" s="1410" t="s">
        <v>2436</v>
      </c>
      <c r="C104" s="1325"/>
      <c r="D104" s="1346"/>
      <c r="E104" s="1365"/>
      <c r="F104" s="1365"/>
      <c r="G104" s="1365"/>
      <c r="H104" s="1369"/>
      <c r="I104" s="1369"/>
      <c r="J104" s="1369"/>
      <c r="K104" s="1369"/>
      <c r="L104" s="1369"/>
      <c r="M104" s="1369"/>
      <c r="N104" s="1363"/>
      <c r="O104" s="1364"/>
      <c r="P104" s="1347"/>
      <c r="Q104" s="1343"/>
      <c r="R104" s="1343"/>
      <c r="S104" s="1343"/>
      <c r="T104" s="1343"/>
      <c r="U104" s="1343"/>
      <c r="V104" s="1343"/>
      <c r="W104" s="1343"/>
      <c r="X104" s="1343"/>
      <c r="Y104" s="1343"/>
      <c r="Z104" s="1343"/>
      <c r="AA104" s="1343"/>
      <c r="AB104" s="1343"/>
      <c r="AC104" s="1343"/>
      <c r="AD104" s="1343"/>
      <c r="AE104" s="1343"/>
      <c r="AF104" s="1343"/>
      <c r="AG104" s="1343"/>
      <c r="AH104" s="1343"/>
      <c r="AI104" s="1343"/>
      <c r="AJ104" s="1343"/>
      <c r="AK104" s="1343"/>
      <c r="AL104" s="1343"/>
      <c r="AM104" s="1343"/>
      <c r="AN104" s="1343"/>
      <c r="AO104" s="1343"/>
      <c r="AP104" s="1343"/>
      <c r="AQ104" s="1343"/>
      <c r="AR104" s="1343"/>
      <c r="AS104" s="1343"/>
      <c r="AT104" s="1343"/>
      <c r="AU104" s="1343"/>
      <c r="AV104" s="1343"/>
      <c r="AW104" s="1343"/>
      <c r="AX104" s="1343"/>
      <c r="AY104" s="1343"/>
      <c r="AZ104" s="1343"/>
      <c r="BA104" s="1343"/>
      <c r="BB104" s="1343"/>
      <c r="BC104" s="1343"/>
      <c r="BD104" s="1343"/>
      <c r="BE104" s="1343"/>
      <c r="BF104" s="1343"/>
      <c r="BG104" s="1343"/>
      <c r="BH104" s="1343"/>
      <c r="BI104" s="1343"/>
      <c r="BJ104" s="1343"/>
      <c r="BK104" s="1343"/>
      <c r="BL104" s="1343"/>
      <c r="BM104" s="1343"/>
      <c r="BN104" s="1343"/>
      <c r="BO104" s="1343"/>
      <c r="BP104" s="1343"/>
      <c r="BQ104" s="1343"/>
      <c r="BR104" s="1343"/>
      <c r="BS104" s="1343"/>
      <c r="BT104" s="1343"/>
      <c r="BU104" s="1343"/>
      <c r="BV104" s="1343"/>
      <c r="BW104" s="1343"/>
      <c r="BX104" s="1343"/>
      <c r="BY104" s="1343"/>
      <c r="BZ104" s="1343"/>
      <c r="CA104" s="1343"/>
      <c r="CB104" s="1343"/>
      <c r="CC104" s="1343"/>
      <c r="CD104" s="1343"/>
      <c r="CE104" s="1343"/>
      <c r="CF104" s="1343"/>
      <c r="CG104" s="1343"/>
      <c r="CH104" s="1343"/>
      <c r="CI104" s="1343"/>
      <c r="CJ104" s="1343"/>
      <c r="CK104" s="1343"/>
      <c r="CL104" s="1343"/>
      <c r="CM104" s="1343"/>
      <c r="CN104" s="1343"/>
      <c r="CO104" s="1343"/>
      <c r="CP104" s="1343"/>
      <c r="CQ104" s="1343"/>
      <c r="CR104" s="1343"/>
      <c r="CS104" s="1343"/>
      <c r="CT104" s="1343"/>
      <c r="CU104" s="1343"/>
      <c r="CV104" s="1343"/>
      <c r="CW104" s="1343"/>
      <c r="CX104" s="1343"/>
      <c r="CY104" s="1343"/>
      <c r="CZ104" s="1343"/>
      <c r="DA104" s="1343"/>
      <c r="DB104" s="1343"/>
      <c r="DC104" s="1343"/>
      <c r="DD104" s="1343"/>
      <c r="DE104" s="1343"/>
      <c r="DF104" s="1343"/>
      <c r="DG104" s="1343"/>
      <c r="DH104" s="1343"/>
      <c r="DI104" s="1343"/>
      <c r="DJ104" s="1343"/>
      <c r="DK104" s="1343"/>
      <c r="DL104" s="1343"/>
      <c r="DM104" s="1343"/>
      <c r="DN104" s="1343"/>
      <c r="DO104" s="1343"/>
      <c r="DP104" s="1343"/>
      <c r="DQ104" s="1343"/>
      <c r="DR104" s="1343"/>
      <c r="DS104" s="1343"/>
      <c r="DT104" s="1343"/>
      <c r="DU104" s="1343"/>
    </row>
    <row r="105" spans="1:125" s="1340" customFormat="1">
      <c r="A105" s="1393" t="s">
        <v>861</v>
      </c>
      <c r="B105" s="1388" t="s">
        <v>2438</v>
      </c>
      <c r="C105" s="1328" t="s">
        <v>469</v>
      </c>
      <c r="D105" s="1353" t="s">
        <v>18</v>
      </c>
      <c r="E105" s="1365">
        <v>1</v>
      </c>
      <c r="F105" s="1365">
        <v>1</v>
      </c>
      <c r="G105" s="1365">
        <v>1</v>
      </c>
      <c r="H105" s="1399">
        <v>6</v>
      </c>
      <c r="I105" s="1399"/>
      <c r="J105" s="1399">
        <v>16</v>
      </c>
      <c r="K105" s="1399"/>
      <c r="L105" s="1399">
        <v>5</v>
      </c>
      <c r="M105" s="1399">
        <f>37+1</f>
        <v>38</v>
      </c>
      <c r="N105" s="1363">
        <f t="shared" si="15"/>
        <v>68</v>
      </c>
      <c r="O105" s="1362"/>
      <c r="P105" s="1347">
        <f t="shared" si="12"/>
        <v>0</v>
      </c>
      <c r="Q105" s="1345"/>
      <c r="R105" s="1345"/>
      <c r="S105" s="1345"/>
      <c r="T105" s="1345"/>
      <c r="U105" s="1345"/>
      <c r="V105" s="1345"/>
      <c r="W105" s="1345"/>
      <c r="X105" s="1345"/>
      <c r="Y105" s="1345"/>
      <c r="Z105" s="1345"/>
      <c r="AA105" s="1345"/>
      <c r="AB105" s="1345"/>
      <c r="AC105" s="1345"/>
      <c r="AD105" s="1345"/>
      <c r="AE105" s="1345"/>
      <c r="AF105" s="1345"/>
      <c r="AG105" s="1345"/>
      <c r="AH105" s="1345"/>
      <c r="AI105" s="1345"/>
      <c r="AJ105" s="1345"/>
      <c r="AK105" s="1345"/>
      <c r="AL105" s="1345"/>
      <c r="AM105" s="1345"/>
      <c r="AN105" s="1345"/>
      <c r="AO105" s="1345"/>
      <c r="AP105" s="1345"/>
      <c r="AQ105" s="1345"/>
      <c r="AR105" s="1345"/>
      <c r="AS105" s="1345"/>
      <c r="AT105" s="1345"/>
      <c r="AU105" s="1345"/>
      <c r="AV105" s="1345"/>
      <c r="AW105" s="1345"/>
      <c r="AX105" s="1345"/>
      <c r="AY105" s="1345"/>
      <c r="AZ105" s="1345"/>
      <c r="BA105" s="1345"/>
      <c r="BB105" s="1345"/>
      <c r="BC105" s="1345"/>
      <c r="BD105" s="1345"/>
      <c r="BE105" s="1345"/>
      <c r="BF105" s="1345"/>
      <c r="BG105" s="1345"/>
      <c r="BH105" s="1345"/>
      <c r="BI105" s="1345"/>
      <c r="BJ105" s="1345"/>
      <c r="BK105" s="1345"/>
      <c r="BL105" s="1345"/>
      <c r="BM105" s="1345"/>
      <c r="BN105" s="1345"/>
      <c r="BO105" s="1345"/>
      <c r="BP105" s="1345"/>
      <c r="BQ105" s="1345"/>
      <c r="BR105" s="1345"/>
      <c r="BS105" s="1345"/>
      <c r="BT105" s="1345"/>
      <c r="BU105" s="1345"/>
      <c r="BV105" s="1345"/>
      <c r="BW105" s="1345"/>
      <c r="BX105" s="1345"/>
      <c r="BY105" s="1345"/>
      <c r="BZ105" s="1345"/>
      <c r="CA105" s="1345"/>
      <c r="CB105" s="1345"/>
      <c r="CC105" s="1345"/>
      <c r="CD105" s="1345"/>
      <c r="CE105" s="1345"/>
      <c r="CF105" s="1345"/>
      <c r="CG105" s="1345"/>
      <c r="CH105" s="1345"/>
      <c r="CI105" s="1345"/>
      <c r="CJ105" s="1345"/>
      <c r="CK105" s="1345"/>
      <c r="CL105" s="1345"/>
      <c r="CM105" s="1345"/>
      <c r="CN105" s="1345"/>
      <c r="CO105" s="1345"/>
      <c r="CP105" s="1345"/>
      <c r="CQ105" s="1345"/>
      <c r="CR105" s="1345"/>
      <c r="CS105" s="1345"/>
      <c r="CT105" s="1345"/>
      <c r="CU105" s="1345"/>
      <c r="CV105" s="1345"/>
      <c r="CW105" s="1345"/>
      <c r="CX105" s="1345"/>
      <c r="CY105" s="1345"/>
      <c r="CZ105" s="1345"/>
      <c r="DA105" s="1345"/>
      <c r="DB105" s="1345"/>
      <c r="DC105" s="1345"/>
      <c r="DD105" s="1345"/>
      <c r="DE105" s="1345"/>
      <c r="DF105" s="1345"/>
      <c r="DG105" s="1345"/>
      <c r="DH105" s="1345"/>
      <c r="DI105" s="1345"/>
      <c r="DJ105" s="1345"/>
      <c r="DK105" s="1345"/>
      <c r="DL105" s="1345"/>
      <c r="DM105" s="1345"/>
      <c r="DN105" s="1345"/>
      <c r="DO105" s="1345"/>
      <c r="DP105" s="1345"/>
      <c r="DQ105" s="1345"/>
      <c r="DR105" s="1345"/>
      <c r="DS105" s="1345"/>
      <c r="DT105" s="1345"/>
      <c r="DU105" s="1345"/>
    </row>
    <row r="106" spans="1:125" s="1340" customFormat="1">
      <c r="A106" s="1393" t="s">
        <v>862</v>
      </c>
      <c r="B106" s="1388" t="s">
        <v>2439</v>
      </c>
      <c r="C106" s="1328" t="s">
        <v>469</v>
      </c>
      <c r="D106" s="1353" t="s">
        <v>18</v>
      </c>
      <c r="E106" s="1365"/>
      <c r="F106" s="1365"/>
      <c r="G106" s="1365"/>
      <c r="H106" s="1399"/>
      <c r="I106" s="1399"/>
      <c r="J106" s="1399"/>
      <c r="K106" s="1399">
        <v>41</v>
      </c>
      <c r="L106" s="1399"/>
      <c r="M106" s="1399"/>
      <c r="N106" s="1363">
        <f t="shared" si="15"/>
        <v>41</v>
      </c>
      <c r="O106" s="1362"/>
      <c r="P106" s="1347">
        <f t="shared" si="12"/>
        <v>0</v>
      </c>
      <c r="Q106" s="1345"/>
      <c r="R106" s="1345"/>
      <c r="S106" s="1345"/>
      <c r="T106" s="1345"/>
      <c r="U106" s="1345"/>
      <c r="V106" s="1345"/>
      <c r="W106" s="1345"/>
      <c r="X106" s="1345"/>
      <c r="Y106" s="1345"/>
      <c r="Z106" s="1345"/>
      <c r="AA106" s="1345"/>
      <c r="AB106" s="1345"/>
      <c r="AC106" s="1345"/>
      <c r="AD106" s="1345"/>
      <c r="AE106" s="1345"/>
      <c r="AF106" s="1345"/>
      <c r="AG106" s="1345"/>
      <c r="AH106" s="1345"/>
      <c r="AI106" s="1345"/>
      <c r="AJ106" s="1345"/>
      <c r="AK106" s="1345"/>
      <c r="AL106" s="1345"/>
      <c r="AM106" s="1345"/>
      <c r="AN106" s="1345"/>
      <c r="AO106" s="1345"/>
      <c r="AP106" s="1345"/>
      <c r="AQ106" s="1345"/>
      <c r="AR106" s="1345"/>
      <c r="AS106" s="1345"/>
      <c r="AT106" s="1345"/>
      <c r="AU106" s="1345"/>
      <c r="AV106" s="1345"/>
      <c r="AW106" s="1345"/>
      <c r="AX106" s="1345"/>
      <c r="AY106" s="1345"/>
      <c r="AZ106" s="1345"/>
      <c r="BA106" s="1345"/>
      <c r="BB106" s="1345"/>
      <c r="BC106" s="1345"/>
      <c r="BD106" s="1345"/>
      <c r="BE106" s="1345"/>
      <c r="BF106" s="1345"/>
      <c r="BG106" s="1345"/>
      <c r="BH106" s="1345"/>
      <c r="BI106" s="1345"/>
      <c r="BJ106" s="1345"/>
      <c r="BK106" s="1345"/>
      <c r="BL106" s="1345"/>
      <c r="BM106" s="1345"/>
      <c r="BN106" s="1345"/>
      <c r="BO106" s="1345"/>
      <c r="BP106" s="1345"/>
      <c r="BQ106" s="1345"/>
      <c r="BR106" s="1345"/>
      <c r="BS106" s="1345"/>
      <c r="BT106" s="1345"/>
      <c r="BU106" s="1345"/>
      <c r="BV106" s="1345"/>
      <c r="BW106" s="1345"/>
      <c r="BX106" s="1345"/>
      <c r="BY106" s="1345"/>
      <c r="BZ106" s="1345"/>
      <c r="CA106" s="1345"/>
      <c r="CB106" s="1345"/>
      <c r="CC106" s="1345"/>
      <c r="CD106" s="1345"/>
      <c r="CE106" s="1345"/>
      <c r="CF106" s="1345"/>
      <c r="CG106" s="1345"/>
      <c r="CH106" s="1345"/>
      <c r="CI106" s="1345"/>
      <c r="CJ106" s="1345"/>
      <c r="CK106" s="1345"/>
      <c r="CL106" s="1345"/>
      <c r="CM106" s="1345"/>
      <c r="CN106" s="1345"/>
      <c r="CO106" s="1345"/>
      <c r="CP106" s="1345"/>
      <c r="CQ106" s="1345"/>
      <c r="CR106" s="1345"/>
      <c r="CS106" s="1345"/>
      <c r="CT106" s="1345"/>
      <c r="CU106" s="1345"/>
      <c r="CV106" s="1345"/>
      <c r="CW106" s="1345"/>
      <c r="CX106" s="1345"/>
      <c r="CY106" s="1345"/>
      <c r="CZ106" s="1345"/>
      <c r="DA106" s="1345"/>
      <c r="DB106" s="1345"/>
      <c r="DC106" s="1345"/>
      <c r="DD106" s="1345"/>
      <c r="DE106" s="1345"/>
      <c r="DF106" s="1345"/>
      <c r="DG106" s="1345"/>
      <c r="DH106" s="1345"/>
      <c r="DI106" s="1345"/>
      <c r="DJ106" s="1345"/>
      <c r="DK106" s="1345"/>
      <c r="DL106" s="1345"/>
      <c r="DM106" s="1345"/>
      <c r="DN106" s="1345"/>
      <c r="DO106" s="1345"/>
      <c r="DP106" s="1345"/>
      <c r="DQ106" s="1345"/>
      <c r="DR106" s="1345"/>
      <c r="DS106" s="1345"/>
      <c r="DT106" s="1345"/>
      <c r="DU106" s="1345"/>
    </row>
    <row r="107" spans="1:125" s="1340" customFormat="1">
      <c r="A107" s="1393" t="s">
        <v>863</v>
      </c>
      <c r="B107" s="1388" t="s">
        <v>2441</v>
      </c>
      <c r="C107" s="1328" t="s">
        <v>469</v>
      </c>
      <c r="D107" s="1353" t="s">
        <v>18</v>
      </c>
      <c r="E107" s="1365"/>
      <c r="F107" s="1365" t="s">
        <v>532</v>
      </c>
      <c r="G107" s="1365" t="s">
        <v>532</v>
      </c>
      <c r="H107" s="1399">
        <v>4</v>
      </c>
      <c r="I107" s="1399"/>
      <c r="J107" s="1399">
        <v>4</v>
      </c>
      <c r="K107" s="1399"/>
      <c r="L107" s="1399"/>
      <c r="M107" s="1399">
        <f>17+4</f>
        <v>21</v>
      </c>
      <c r="N107" s="1363">
        <f t="shared" si="15"/>
        <v>29</v>
      </c>
      <c r="O107" s="1362"/>
      <c r="P107" s="1347">
        <f t="shared" si="12"/>
        <v>0</v>
      </c>
      <c r="Q107" s="1345"/>
      <c r="R107" s="1345"/>
      <c r="S107" s="1345"/>
      <c r="T107" s="1345"/>
      <c r="U107" s="1345"/>
      <c r="V107" s="1345"/>
      <c r="W107" s="1345"/>
      <c r="X107" s="1345"/>
      <c r="Y107" s="1345"/>
      <c r="Z107" s="1345"/>
      <c r="AA107" s="1345"/>
      <c r="AB107" s="1345"/>
      <c r="AC107" s="1345"/>
      <c r="AD107" s="1345"/>
      <c r="AE107" s="1345"/>
      <c r="AF107" s="1345"/>
      <c r="AG107" s="1345"/>
      <c r="AH107" s="1345"/>
      <c r="AI107" s="1345"/>
      <c r="AJ107" s="1345"/>
      <c r="AK107" s="1345"/>
      <c r="AL107" s="1345"/>
      <c r="AM107" s="1345"/>
      <c r="AN107" s="1345"/>
      <c r="AO107" s="1345"/>
      <c r="AP107" s="1345"/>
      <c r="AQ107" s="1345"/>
      <c r="AR107" s="1345"/>
      <c r="AS107" s="1345"/>
      <c r="AT107" s="1345"/>
      <c r="AU107" s="1345"/>
      <c r="AV107" s="1345"/>
      <c r="AW107" s="1345"/>
      <c r="AX107" s="1345"/>
      <c r="AY107" s="1345"/>
      <c r="AZ107" s="1345"/>
      <c r="BA107" s="1345"/>
      <c r="BB107" s="1345"/>
      <c r="BC107" s="1345"/>
      <c r="BD107" s="1345"/>
      <c r="BE107" s="1345"/>
      <c r="BF107" s="1345"/>
      <c r="BG107" s="1345"/>
      <c r="BH107" s="1345"/>
      <c r="BI107" s="1345"/>
      <c r="BJ107" s="1345"/>
      <c r="BK107" s="1345"/>
      <c r="BL107" s="1345"/>
      <c r="BM107" s="1345"/>
      <c r="BN107" s="1345"/>
      <c r="BO107" s="1345"/>
      <c r="BP107" s="1345"/>
      <c r="BQ107" s="1345"/>
      <c r="BR107" s="1345"/>
      <c r="BS107" s="1345"/>
      <c r="BT107" s="1345"/>
      <c r="BU107" s="1345"/>
      <c r="BV107" s="1345"/>
      <c r="BW107" s="1345"/>
      <c r="BX107" s="1345"/>
      <c r="BY107" s="1345"/>
      <c r="BZ107" s="1345"/>
      <c r="CA107" s="1345"/>
      <c r="CB107" s="1345"/>
      <c r="CC107" s="1345"/>
      <c r="CD107" s="1345"/>
      <c r="CE107" s="1345"/>
      <c r="CF107" s="1345"/>
      <c r="CG107" s="1345"/>
      <c r="CH107" s="1345"/>
      <c r="CI107" s="1345"/>
      <c r="CJ107" s="1345"/>
      <c r="CK107" s="1345"/>
      <c r="CL107" s="1345"/>
      <c r="CM107" s="1345"/>
      <c r="CN107" s="1345"/>
      <c r="CO107" s="1345"/>
      <c r="CP107" s="1345"/>
      <c r="CQ107" s="1345"/>
      <c r="CR107" s="1345"/>
      <c r="CS107" s="1345"/>
      <c r="CT107" s="1345"/>
      <c r="CU107" s="1345"/>
      <c r="CV107" s="1345"/>
      <c r="CW107" s="1345"/>
      <c r="CX107" s="1345"/>
      <c r="CY107" s="1345"/>
      <c r="CZ107" s="1345"/>
      <c r="DA107" s="1345"/>
      <c r="DB107" s="1345"/>
      <c r="DC107" s="1345"/>
      <c r="DD107" s="1345"/>
      <c r="DE107" s="1345"/>
      <c r="DF107" s="1345"/>
      <c r="DG107" s="1345"/>
      <c r="DH107" s="1345"/>
      <c r="DI107" s="1345"/>
      <c r="DJ107" s="1345"/>
      <c r="DK107" s="1345"/>
      <c r="DL107" s="1345"/>
      <c r="DM107" s="1345"/>
      <c r="DN107" s="1345"/>
      <c r="DO107" s="1345"/>
      <c r="DP107" s="1345"/>
      <c r="DQ107" s="1345"/>
      <c r="DR107" s="1345"/>
      <c r="DS107" s="1345"/>
      <c r="DT107" s="1345"/>
      <c r="DU107" s="1345"/>
    </row>
    <row r="108" spans="1:125" s="1339" customFormat="1">
      <c r="A108" s="1350" t="s">
        <v>468</v>
      </c>
      <c r="B108" s="1410" t="s">
        <v>2437</v>
      </c>
      <c r="C108" s="1325"/>
      <c r="D108" s="1346"/>
      <c r="E108" s="1365"/>
      <c r="F108" s="1365"/>
      <c r="G108" s="1365"/>
      <c r="H108" s="1369"/>
      <c r="I108" s="1369"/>
      <c r="J108" s="1369"/>
      <c r="K108" s="1369"/>
      <c r="L108" s="1369"/>
      <c r="M108" s="1369"/>
      <c r="N108" s="1363"/>
      <c r="O108" s="1364"/>
      <c r="P108" s="1347"/>
      <c r="Q108" s="1343"/>
      <c r="R108" s="1343"/>
      <c r="S108" s="1343"/>
      <c r="T108" s="1343"/>
      <c r="U108" s="1343"/>
      <c r="V108" s="1343"/>
      <c r="W108" s="1343"/>
      <c r="X108" s="1343"/>
      <c r="Y108" s="1343"/>
      <c r="Z108" s="1343"/>
      <c r="AA108" s="1343"/>
      <c r="AB108" s="1343"/>
      <c r="AC108" s="1343"/>
      <c r="AD108" s="1343"/>
      <c r="AE108" s="1343"/>
      <c r="AF108" s="1343"/>
      <c r="AG108" s="1343"/>
      <c r="AH108" s="1343"/>
      <c r="AI108" s="1343"/>
      <c r="AJ108" s="1343"/>
      <c r="AK108" s="1343"/>
      <c r="AL108" s="1343"/>
      <c r="AM108" s="1343"/>
      <c r="AN108" s="1343"/>
      <c r="AO108" s="1343"/>
      <c r="AP108" s="1343"/>
      <c r="AQ108" s="1343"/>
      <c r="AR108" s="1343"/>
      <c r="AS108" s="1343"/>
      <c r="AT108" s="1343"/>
      <c r="AU108" s="1343"/>
      <c r="AV108" s="1343"/>
      <c r="AW108" s="1343"/>
      <c r="AX108" s="1343"/>
      <c r="AY108" s="1343"/>
      <c r="AZ108" s="1343"/>
      <c r="BA108" s="1343"/>
      <c r="BB108" s="1343"/>
      <c r="BC108" s="1343"/>
      <c r="BD108" s="1343"/>
      <c r="BE108" s="1343"/>
      <c r="BF108" s="1343"/>
      <c r="BG108" s="1343"/>
      <c r="BH108" s="1343"/>
      <c r="BI108" s="1343"/>
      <c r="BJ108" s="1343"/>
      <c r="BK108" s="1343"/>
      <c r="BL108" s="1343"/>
      <c r="BM108" s="1343"/>
      <c r="BN108" s="1343"/>
      <c r="BO108" s="1343"/>
      <c r="BP108" s="1343"/>
      <c r="BQ108" s="1343"/>
      <c r="BR108" s="1343"/>
      <c r="BS108" s="1343"/>
      <c r="BT108" s="1343"/>
      <c r="BU108" s="1343"/>
      <c r="BV108" s="1343"/>
      <c r="BW108" s="1343"/>
      <c r="BX108" s="1343"/>
      <c r="BY108" s="1343"/>
      <c r="BZ108" s="1343"/>
      <c r="CA108" s="1343"/>
      <c r="CB108" s="1343"/>
      <c r="CC108" s="1343"/>
      <c r="CD108" s="1343"/>
      <c r="CE108" s="1343"/>
      <c r="CF108" s="1343"/>
      <c r="CG108" s="1343"/>
      <c r="CH108" s="1343"/>
      <c r="CI108" s="1343"/>
      <c r="CJ108" s="1343"/>
      <c r="CK108" s="1343"/>
      <c r="CL108" s="1343"/>
      <c r="CM108" s="1343"/>
      <c r="CN108" s="1343"/>
      <c r="CO108" s="1343"/>
      <c r="CP108" s="1343"/>
      <c r="CQ108" s="1343"/>
      <c r="CR108" s="1343"/>
      <c r="CS108" s="1343"/>
      <c r="CT108" s="1343"/>
      <c r="CU108" s="1343"/>
      <c r="CV108" s="1343"/>
      <c r="CW108" s="1343"/>
      <c r="CX108" s="1343"/>
      <c r="CY108" s="1343"/>
      <c r="CZ108" s="1343"/>
      <c r="DA108" s="1343"/>
      <c r="DB108" s="1343"/>
      <c r="DC108" s="1343"/>
      <c r="DD108" s="1343"/>
      <c r="DE108" s="1343"/>
      <c r="DF108" s="1343"/>
      <c r="DG108" s="1343"/>
      <c r="DH108" s="1343"/>
      <c r="DI108" s="1343"/>
      <c r="DJ108" s="1343"/>
      <c r="DK108" s="1343"/>
      <c r="DL108" s="1343"/>
      <c r="DM108" s="1343"/>
      <c r="DN108" s="1343"/>
      <c r="DO108" s="1343"/>
      <c r="DP108" s="1343"/>
      <c r="DQ108" s="1343"/>
      <c r="DR108" s="1343"/>
      <c r="DS108" s="1343"/>
      <c r="DT108" s="1343"/>
      <c r="DU108" s="1343"/>
    </row>
    <row r="109" spans="1:125" s="1340" customFormat="1">
      <c r="A109" s="1393" t="s">
        <v>864</v>
      </c>
      <c r="B109" s="1388" t="s">
        <v>2427</v>
      </c>
      <c r="C109" s="1328" t="s">
        <v>469</v>
      </c>
      <c r="D109" s="1353" t="s">
        <v>18</v>
      </c>
      <c r="E109" s="1365">
        <v>1</v>
      </c>
      <c r="F109" s="1365">
        <v>7</v>
      </c>
      <c r="G109" s="1365">
        <v>1</v>
      </c>
      <c r="H109" s="1399">
        <v>2</v>
      </c>
      <c r="I109" s="1399"/>
      <c r="J109" s="1399">
        <v>5</v>
      </c>
      <c r="K109" s="1399"/>
      <c r="L109" s="1399">
        <v>2</v>
      </c>
      <c r="M109" s="1399">
        <v>10</v>
      </c>
      <c r="N109" s="1363">
        <f t="shared" si="15"/>
        <v>28</v>
      </c>
      <c r="O109" s="1362"/>
      <c r="P109" s="1347">
        <f t="shared" si="12"/>
        <v>0</v>
      </c>
      <c r="Q109" s="1345"/>
      <c r="R109" s="1345"/>
      <c r="S109" s="1345"/>
      <c r="T109" s="1345"/>
      <c r="U109" s="1345"/>
      <c r="V109" s="1345"/>
      <c r="W109" s="1345"/>
      <c r="X109" s="1345"/>
      <c r="Y109" s="1345"/>
      <c r="Z109" s="1345"/>
      <c r="AA109" s="1345"/>
      <c r="AB109" s="1345"/>
      <c r="AC109" s="1345"/>
      <c r="AD109" s="1345"/>
      <c r="AE109" s="1345"/>
      <c r="AF109" s="1345"/>
      <c r="AG109" s="1345"/>
      <c r="AH109" s="1345"/>
      <c r="AI109" s="1345"/>
      <c r="AJ109" s="1345"/>
      <c r="AK109" s="1345"/>
      <c r="AL109" s="1345"/>
      <c r="AM109" s="1345"/>
      <c r="AN109" s="1345"/>
      <c r="AO109" s="1345"/>
      <c r="AP109" s="1345"/>
      <c r="AQ109" s="1345"/>
      <c r="AR109" s="1345"/>
      <c r="AS109" s="1345"/>
      <c r="AT109" s="1345"/>
      <c r="AU109" s="1345"/>
      <c r="AV109" s="1345"/>
      <c r="AW109" s="1345"/>
      <c r="AX109" s="1345"/>
      <c r="AY109" s="1345"/>
      <c r="AZ109" s="1345"/>
      <c r="BA109" s="1345"/>
      <c r="BB109" s="1345"/>
      <c r="BC109" s="1345"/>
      <c r="BD109" s="1345"/>
      <c r="BE109" s="1345"/>
      <c r="BF109" s="1345"/>
      <c r="BG109" s="1345"/>
      <c r="BH109" s="1345"/>
      <c r="BI109" s="1345"/>
      <c r="BJ109" s="1345"/>
      <c r="BK109" s="1345"/>
      <c r="BL109" s="1345"/>
      <c r="BM109" s="1345"/>
      <c r="BN109" s="1345"/>
      <c r="BO109" s="1345"/>
      <c r="BP109" s="1345"/>
      <c r="BQ109" s="1345"/>
      <c r="BR109" s="1345"/>
      <c r="BS109" s="1345"/>
      <c r="BT109" s="1345"/>
      <c r="BU109" s="1345"/>
      <c r="BV109" s="1345"/>
      <c r="BW109" s="1345"/>
      <c r="BX109" s="1345"/>
      <c r="BY109" s="1345"/>
      <c r="BZ109" s="1345"/>
      <c r="CA109" s="1345"/>
      <c r="CB109" s="1345"/>
      <c r="CC109" s="1345"/>
      <c r="CD109" s="1345"/>
      <c r="CE109" s="1345"/>
      <c r="CF109" s="1345"/>
      <c r="CG109" s="1345"/>
      <c r="CH109" s="1345"/>
      <c r="CI109" s="1345"/>
      <c r="CJ109" s="1345"/>
      <c r="CK109" s="1345"/>
      <c r="CL109" s="1345"/>
      <c r="CM109" s="1345"/>
      <c r="CN109" s="1345"/>
      <c r="CO109" s="1345"/>
      <c r="CP109" s="1345"/>
      <c r="CQ109" s="1345"/>
      <c r="CR109" s="1345"/>
      <c r="CS109" s="1345"/>
      <c r="CT109" s="1345"/>
      <c r="CU109" s="1345"/>
      <c r="CV109" s="1345"/>
      <c r="CW109" s="1345"/>
      <c r="CX109" s="1345"/>
      <c r="CY109" s="1345"/>
      <c r="CZ109" s="1345"/>
      <c r="DA109" s="1345"/>
      <c r="DB109" s="1345"/>
      <c r="DC109" s="1345"/>
      <c r="DD109" s="1345"/>
      <c r="DE109" s="1345"/>
      <c r="DF109" s="1345"/>
      <c r="DG109" s="1345"/>
      <c r="DH109" s="1345"/>
      <c r="DI109" s="1345"/>
      <c r="DJ109" s="1345"/>
      <c r="DK109" s="1345"/>
      <c r="DL109" s="1345"/>
      <c r="DM109" s="1345"/>
      <c r="DN109" s="1345"/>
      <c r="DO109" s="1345"/>
      <c r="DP109" s="1345"/>
      <c r="DQ109" s="1345"/>
      <c r="DR109" s="1345"/>
      <c r="DS109" s="1345"/>
      <c r="DT109" s="1345"/>
      <c r="DU109" s="1345"/>
    </row>
    <row r="110" spans="1:125" s="1340" customFormat="1">
      <c r="A110" s="1393" t="s">
        <v>961</v>
      </c>
      <c r="B110" s="1388" t="s">
        <v>2428</v>
      </c>
      <c r="C110" s="1328" t="s">
        <v>469</v>
      </c>
      <c r="D110" s="1353" t="s">
        <v>18</v>
      </c>
      <c r="E110" s="1365"/>
      <c r="F110" s="1365"/>
      <c r="G110" s="1365"/>
      <c r="H110" s="1399"/>
      <c r="I110" s="1399"/>
      <c r="J110" s="1399"/>
      <c r="K110" s="1399">
        <v>12</v>
      </c>
      <c r="L110" s="1399"/>
      <c r="M110" s="1399"/>
      <c r="N110" s="1363">
        <f t="shared" si="15"/>
        <v>12</v>
      </c>
      <c r="O110" s="1362"/>
      <c r="P110" s="1347">
        <f t="shared" si="12"/>
        <v>0</v>
      </c>
      <c r="Q110" s="1345"/>
      <c r="R110" s="1345"/>
      <c r="S110" s="1345"/>
      <c r="T110" s="1345"/>
      <c r="U110" s="1345"/>
      <c r="V110" s="1345"/>
      <c r="W110" s="1345"/>
      <c r="X110" s="1345"/>
      <c r="Y110" s="1345"/>
      <c r="Z110" s="1345"/>
      <c r="AA110" s="1345"/>
      <c r="AB110" s="1345"/>
      <c r="AC110" s="1345"/>
      <c r="AD110" s="1345"/>
      <c r="AE110" s="1345"/>
      <c r="AF110" s="1345"/>
      <c r="AG110" s="1345"/>
      <c r="AH110" s="1345"/>
      <c r="AI110" s="1345"/>
      <c r="AJ110" s="1345"/>
      <c r="AK110" s="1345"/>
      <c r="AL110" s="1345"/>
      <c r="AM110" s="1345"/>
      <c r="AN110" s="1345"/>
      <c r="AO110" s="1345"/>
      <c r="AP110" s="1345"/>
      <c r="AQ110" s="1345"/>
      <c r="AR110" s="1345"/>
      <c r="AS110" s="1345"/>
      <c r="AT110" s="1345"/>
      <c r="AU110" s="1345"/>
      <c r="AV110" s="1345"/>
      <c r="AW110" s="1345"/>
      <c r="AX110" s="1345"/>
      <c r="AY110" s="1345"/>
      <c r="AZ110" s="1345"/>
      <c r="BA110" s="1345"/>
      <c r="BB110" s="1345"/>
      <c r="BC110" s="1345"/>
      <c r="BD110" s="1345"/>
      <c r="BE110" s="1345"/>
      <c r="BF110" s="1345"/>
      <c r="BG110" s="1345"/>
      <c r="BH110" s="1345"/>
      <c r="BI110" s="1345"/>
      <c r="BJ110" s="1345"/>
      <c r="BK110" s="1345"/>
      <c r="BL110" s="1345"/>
      <c r="BM110" s="1345"/>
      <c r="BN110" s="1345"/>
      <c r="BO110" s="1345"/>
      <c r="BP110" s="1345"/>
      <c r="BQ110" s="1345"/>
      <c r="BR110" s="1345"/>
      <c r="BS110" s="1345"/>
      <c r="BT110" s="1345"/>
      <c r="BU110" s="1345"/>
      <c r="BV110" s="1345"/>
      <c r="BW110" s="1345"/>
      <c r="BX110" s="1345"/>
      <c r="BY110" s="1345"/>
      <c r="BZ110" s="1345"/>
      <c r="CA110" s="1345"/>
      <c r="CB110" s="1345"/>
      <c r="CC110" s="1345"/>
      <c r="CD110" s="1345"/>
      <c r="CE110" s="1345"/>
      <c r="CF110" s="1345"/>
      <c r="CG110" s="1345"/>
      <c r="CH110" s="1345"/>
      <c r="CI110" s="1345"/>
      <c r="CJ110" s="1345"/>
      <c r="CK110" s="1345"/>
      <c r="CL110" s="1345"/>
      <c r="CM110" s="1345"/>
      <c r="CN110" s="1345"/>
      <c r="CO110" s="1345"/>
      <c r="CP110" s="1345"/>
      <c r="CQ110" s="1345"/>
      <c r="CR110" s="1345"/>
      <c r="CS110" s="1345"/>
      <c r="CT110" s="1345"/>
      <c r="CU110" s="1345"/>
      <c r="CV110" s="1345"/>
      <c r="CW110" s="1345"/>
      <c r="CX110" s="1345"/>
      <c r="CY110" s="1345"/>
      <c r="CZ110" s="1345"/>
      <c r="DA110" s="1345"/>
      <c r="DB110" s="1345"/>
      <c r="DC110" s="1345"/>
      <c r="DD110" s="1345"/>
      <c r="DE110" s="1345"/>
      <c r="DF110" s="1345"/>
      <c r="DG110" s="1345"/>
      <c r="DH110" s="1345"/>
      <c r="DI110" s="1345"/>
      <c r="DJ110" s="1345"/>
      <c r="DK110" s="1345"/>
      <c r="DL110" s="1345"/>
      <c r="DM110" s="1345"/>
      <c r="DN110" s="1345"/>
      <c r="DO110" s="1345"/>
      <c r="DP110" s="1345"/>
      <c r="DQ110" s="1345"/>
      <c r="DR110" s="1345"/>
      <c r="DS110" s="1345"/>
      <c r="DT110" s="1345"/>
      <c r="DU110" s="1345"/>
    </row>
    <row r="111" spans="1:125" s="1340" customFormat="1">
      <c r="A111" s="1393" t="s">
        <v>962</v>
      </c>
      <c r="B111" s="1388" t="s">
        <v>2429</v>
      </c>
      <c r="C111" s="1328" t="s">
        <v>469</v>
      </c>
      <c r="D111" s="1353" t="s">
        <v>18</v>
      </c>
      <c r="E111" s="1365"/>
      <c r="F111" s="1365" t="s">
        <v>532</v>
      </c>
      <c r="G111" s="1365" t="s">
        <v>532</v>
      </c>
      <c r="H111" s="1399">
        <v>2</v>
      </c>
      <c r="I111" s="1399"/>
      <c r="J111" s="1399"/>
      <c r="K111" s="1399"/>
      <c r="L111" s="1399"/>
      <c r="M111" s="1399">
        <v>6</v>
      </c>
      <c r="N111" s="1363">
        <f t="shared" si="15"/>
        <v>8</v>
      </c>
      <c r="O111" s="1362"/>
      <c r="P111" s="1347">
        <f t="shared" si="12"/>
        <v>0</v>
      </c>
      <c r="Q111" s="1345"/>
      <c r="R111" s="1345"/>
      <c r="S111" s="1345"/>
      <c r="T111" s="1345"/>
      <c r="U111" s="1345"/>
      <c r="V111" s="1345"/>
      <c r="W111" s="1345"/>
      <c r="X111" s="1345"/>
      <c r="Y111" s="1345"/>
      <c r="Z111" s="1345"/>
      <c r="AA111" s="1345"/>
      <c r="AB111" s="1345"/>
      <c r="AC111" s="1345"/>
      <c r="AD111" s="1345"/>
      <c r="AE111" s="1345"/>
      <c r="AF111" s="1345"/>
      <c r="AG111" s="1345"/>
      <c r="AH111" s="1345"/>
      <c r="AI111" s="1345"/>
      <c r="AJ111" s="1345"/>
      <c r="AK111" s="1345"/>
      <c r="AL111" s="1345"/>
      <c r="AM111" s="1345"/>
      <c r="AN111" s="1345"/>
      <c r="AO111" s="1345"/>
      <c r="AP111" s="1345"/>
      <c r="AQ111" s="1345"/>
      <c r="AR111" s="1345"/>
      <c r="AS111" s="1345"/>
      <c r="AT111" s="1345"/>
      <c r="AU111" s="1345"/>
      <c r="AV111" s="1345"/>
      <c r="AW111" s="1345"/>
      <c r="AX111" s="1345"/>
      <c r="AY111" s="1345"/>
      <c r="AZ111" s="1345"/>
      <c r="BA111" s="1345"/>
      <c r="BB111" s="1345"/>
      <c r="BC111" s="1345"/>
      <c r="BD111" s="1345"/>
      <c r="BE111" s="1345"/>
      <c r="BF111" s="1345"/>
      <c r="BG111" s="1345"/>
      <c r="BH111" s="1345"/>
      <c r="BI111" s="1345"/>
      <c r="BJ111" s="1345"/>
      <c r="BK111" s="1345"/>
      <c r="BL111" s="1345"/>
      <c r="BM111" s="1345"/>
      <c r="BN111" s="1345"/>
      <c r="BO111" s="1345"/>
      <c r="BP111" s="1345"/>
      <c r="BQ111" s="1345"/>
      <c r="BR111" s="1345"/>
      <c r="BS111" s="1345"/>
      <c r="BT111" s="1345"/>
      <c r="BU111" s="1345"/>
      <c r="BV111" s="1345"/>
      <c r="BW111" s="1345"/>
      <c r="BX111" s="1345"/>
      <c r="BY111" s="1345"/>
      <c r="BZ111" s="1345"/>
      <c r="CA111" s="1345"/>
      <c r="CB111" s="1345"/>
      <c r="CC111" s="1345"/>
      <c r="CD111" s="1345"/>
      <c r="CE111" s="1345"/>
      <c r="CF111" s="1345"/>
      <c r="CG111" s="1345"/>
      <c r="CH111" s="1345"/>
      <c r="CI111" s="1345"/>
      <c r="CJ111" s="1345"/>
      <c r="CK111" s="1345"/>
      <c r="CL111" s="1345"/>
      <c r="CM111" s="1345"/>
      <c r="CN111" s="1345"/>
      <c r="CO111" s="1345"/>
      <c r="CP111" s="1345"/>
      <c r="CQ111" s="1345"/>
      <c r="CR111" s="1345"/>
      <c r="CS111" s="1345"/>
      <c r="CT111" s="1345"/>
      <c r="CU111" s="1345"/>
      <c r="CV111" s="1345"/>
      <c r="CW111" s="1345"/>
      <c r="CX111" s="1345"/>
      <c r="CY111" s="1345"/>
      <c r="CZ111" s="1345"/>
      <c r="DA111" s="1345"/>
      <c r="DB111" s="1345"/>
      <c r="DC111" s="1345"/>
      <c r="DD111" s="1345"/>
      <c r="DE111" s="1345"/>
      <c r="DF111" s="1345"/>
      <c r="DG111" s="1345"/>
      <c r="DH111" s="1345"/>
      <c r="DI111" s="1345"/>
      <c r="DJ111" s="1345"/>
      <c r="DK111" s="1345"/>
      <c r="DL111" s="1345"/>
      <c r="DM111" s="1345"/>
      <c r="DN111" s="1345"/>
      <c r="DO111" s="1345"/>
      <c r="DP111" s="1345"/>
      <c r="DQ111" s="1345"/>
      <c r="DR111" s="1345"/>
      <c r="DS111" s="1345"/>
      <c r="DT111" s="1345"/>
      <c r="DU111" s="1345"/>
    </row>
    <row r="112" spans="1:125" s="1340" customFormat="1">
      <c r="A112" s="1393" t="s">
        <v>963</v>
      </c>
      <c r="B112" s="1388" t="s">
        <v>2430</v>
      </c>
      <c r="C112" s="1328" t="s">
        <v>469</v>
      </c>
      <c r="D112" s="1353" t="s">
        <v>18</v>
      </c>
      <c r="E112" s="1365">
        <v>1</v>
      </c>
      <c r="F112" s="1365">
        <v>1</v>
      </c>
      <c r="G112" s="1365">
        <v>1</v>
      </c>
      <c r="H112" s="1399"/>
      <c r="I112" s="1399"/>
      <c r="J112" s="1399"/>
      <c r="K112" s="1399">
        <v>3</v>
      </c>
      <c r="L112" s="1399">
        <v>6</v>
      </c>
      <c r="M112" s="1399"/>
      <c r="N112" s="1363">
        <f t="shared" si="15"/>
        <v>12</v>
      </c>
      <c r="O112" s="1362"/>
      <c r="P112" s="1347">
        <f t="shared" si="12"/>
        <v>0</v>
      </c>
      <c r="Q112" s="1345"/>
      <c r="R112" s="1345"/>
      <c r="S112" s="1345"/>
      <c r="T112" s="1345"/>
      <c r="U112" s="1345"/>
      <c r="V112" s="1345"/>
      <c r="W112" s="1345"/>
      <c r="X112" s="1345"/>
      <c r="Y112" s="1345"/>
      <c r="Z112" s="1345"/>
      <c r="AA112" s="1345"/>
      <c r="AB112" s="1345"/>
      <c r="AC112" s="1345"/>
      <c r="AD112" s="1345"/>
      <c r="AE112" s="1345"/>
      <c r="AF112" s="1345"/>
      <c r="AG112" s="1345"/>
      <c r="AH112" s="1345"/>
      <c r="AI112" s="1345"/>
      <c r="AJ112" s="1345"/>
      <c r="AK112" s="1345"/>
      <c r="AL112" s="1345"/>
      <c r="AM112" s="1345"/>
      <c r="AN112" s="1345"/>
      <c r="AO112" s="1345"/>
      <c r="AP112" s="1345"/>
      <c r="AQ112" s="1345"/>
      <c r="AR112" s="1345"/>
      <c r="AS112" s="1345"/>
      <c r="AT112" s="1345"/>
      <c r="AU112" s="1345"/>
      <c r="AV112" s="1345"/>
      <c r="AW112" s="1345"/>
      <c r="AX112" s="1345"/>
      <c r="AY112" s="1345"/>
      <c r="AZ112" s="1345"/>
      <c r="BA112" s="1345"/>
      <c r="BB112" s="1345"/>
      <c r="BC112" s="1345"/>
      <c r="BD112" s="1345"/>
      <c r="BE112" s="1345"/>
      <c r="BF112" s="1345"/>
      <c r="BG112" s="1345"/>
      <c r="BH112" s="1345"/>
      <c r="BI112" s="1345"/>
      <c r="BJ112" s="1345"/>
      <c r="BK112" s="1345"/>
      <c r="BL112" s="1345"/>
      <c r="BM112" s="1345"/>
      <c r="BN112" s="1345"/>
      <c r="BO112" s="1345"/>
      <c r="BP112" s="1345"/>
      <c r="BQ112" s="1345"/>
      <c r="BR112" s="1345"/>
      <c r="BS112" s="1345"/>
      <c r="BT112" s="1345"/>
      <c r="BU112" s="1345"/>
      <c r="BV112" s="1345"/>
      <c r="BW112" s="1345"/>
      <c r="BX112" s="1345"/>
      <c r="BY112" s="1345"/>
      <c r="BZ112" s="1345"/>
      <c r="CA112" s="1345"/>
      <c r="CB112" s="1345"/>
      <c r="CC112" s="1345"/>
      <c r="CD112" s="1345"/>
      <c r="CE112" s="1345"/>
      <c r="CF112" s="1345"/>
      <c r="CG112" s="1345"/>
      <c r="CH112" s="1345"/>
      <c r="CI112" s="1345"/>
      <c r="CJ112" s="1345"/>
      <c r="CK112" s="1345"/>
      <c r="CL112" s="1345"/>
      <c r="CM112" s="1345"/>
      <c r="CN112" s="1345"/>
      <c r="CO112" s="1345"/>
      <c r="CP112" s="1345"/>
      <c r="CQ112" s="1345"/>
      <c r="CR112" s="1345"/>
      <c r="CS112" s="1345"/>
      <c r="CT112" s="1345"/>
      <c r="CU112" s="1345"/>
      <c r="CV112" s="1345"/>
      <c r="CW112" s="1345"/>
      <c r="CX112" s="1345"/>
      <c r="CY112" s="1345"/>
      <c r="CZ112" s="1345"/>
      <c r="DA112" s="1345"/>
      <c r="DB112" s="1345"/>
      <c r="DC112" s="1345"/>
      <c r="DD112" s="1345"/>
      <c r="DE112" s="1345"/>
      <c r="DF112" s="1345"/>
      <c r="DG112" s="1345"/>
      <c r="DH112" s="1345"/>
      <c r="DI112" s="1345"/>
      <c r="DJ112" s="1345"/>
      <c r="DK112" s="1345"/>
      <c r="DL112" s="1345"/>
      <c r="DM112" s="1345"/>
      <c r="DN112" s="1345"/>
      <c r="DO112" s="1345"/>
      <c r="DP112" s="1345"/>
      <c r="DQ112" s="1345"/>
      <c r="DR112" s="1345"/>
      <c r="DS112" s="1345"/>
      <c r="DT112" s="1345"/>
      <c r="DU112" s="1345"/>
    </row>
    <row r="113" spans="1:125">
      <c r="A113" s="1392" t="s">
        <v>470</v>
      </c>
      <c r="B113" s="1413" t="s">
        <v>546</v>
      </c>
      <c r="C113" s="1330" t="s">
        <v>582</v>
      </c>
      <c r="D113" s="1346"/>
      <c r="E113" s="1365"/>
      <c r="F113" s="1365"/>
      <c r="G113" s="1365"/>
      <c r="H113" s="1399"/>
      <c r="I113" s="1399"/>
      <c r="J113" s="1399"/>
      <c r="K113" s="1399"/>
      <c r="L113" s="1399"/>
      <c r="M113" s="1399"/>
      <c r="N113" s="1399"/>
      <c r="O113" s="1363"/>
      <c r="P113" s="1364"/>
      <c r="Q113" s="1347"/>
    </row>
    <row r="114" spans="1:125">
      <c r="A114" s="1348" t="s">
        <v>2391</v>
      </c>
      <c r="B114" s="1396" t="s">
        <v>2392</v>
      </c>
      <c r="C114" s="1328" t="s">
        <v>2393</v>
      </c>
      <c r="D114" s="1353" t="s">
        <v>18</v>
      </c>
      <c r="E114" s="1365"/>
      <c r="F114" s="1365"/>
      <c r="G114" s="1365"/>
      <c r="H114" s="1399"/>
      <c r="I114" s="1399"/>
      <c r="J114" s="1399">
        <v>27</v>
      </c>
      <c r="K114" s="1399"/>
      <c r="L114" s="1399"/>
      <c r="M114" s="1399"/>
      <c r="N114" s="1399"/>
      <c r="O114" s="1363">
        <v>27</v>
      </c>
      <c r="P114" s="1362"/>
      <c r="Q114" s="1347">
        <v>0</v>
      </c>
    </row>
    <row r="115" spans="1:125">
      <c r="A115" s="1392" t="s">
        <v>1345</v>
      </c>
      <c r="B115" s="1413" t="s">
        <v>2394</v>
      </c>
      <c r="C115" s="1330"/>
      <c r="D115" s="1346"/>
      <c r="E115" s="1365"/>
      <c r="F115" s="1365"/>
      <c r="G115" s="1365"/>
      <c r="H115" s="1399"/>
      <c r="I115" s="1399"/>
      <c r="J115" s="1399"/>
      <c r="K115" s="1399"/>
      <c r="L115" s="1399"/>
      <c r="M115" s="1399"/>
      <c r="N115" s="1399"/>
      <c r="O115" s="1363"/>
      <c r="P115" s="1364"/>
      <c r="Q115" s="1347"/>
    </row>
    <row r="116" spans="1:125">
      <c r="A116" s="1348" t="s">
        <v>1346</v>
      </c>
      <c r="B116" s="1397" t="s">
        <v>2395</v>
      </c>
      <c r="C116" s="1328" t="s">
        <v>2396</v>
      </c>
      <c r="D116" s="1353" t="s">
        <v>18</v>
      </c>
      <c r="E116" s="1365">
        <v>11</v>
      </c>
      <c r="F116" s="1365">
        <v>9</v>
      </c>
      <c r="G116" s="1365"/>
      <c r="H116" s="1399"/>
      <c r="I116" s="1399"/>
      <c r="J116" s="1399"/>
      <c r="K116" s="1399"/>
      <c r="L116" s="1399"/>
      <c r="M116" s="1399"/>
      <c r="N116" s="1399"/>
      <c r="O116" s="1363">
        <v>20</v>
      </c>
      <c r="P116" s="1362"/>
      <c r="Q116" s="1347">
        <v>0</v>
      </c>
    </row>
    <row r="117" spans="1:125" ht="18.75" customHeight="1">
      <c r="A117" s="1348" t="s">
        <v>1347</v>
      </c>
      <c r="B117" s="1397" t="s">
        <v>2397</v>
      </c>
      <c r="C117" s="1328" t="s">
        <v>2396</v>
      </c>
      <c r="D117" s="1353" t="s">
        <v>18</v>
      </c>
      <c r="E117" s="1365">
        <v>71</v>
      </c>
      <c r="F117" s="1365">
        <v>54</v>
      </c>
      <c r="G117" s="1365">
        <v>45</v>
      </c>
      <c r="H117" s="1399"/>
      <c r="I117" s="1399"/>
      <c r="J117" s="1399"/>
      <c r="K117" s="1399">
        <v>276</v>
      </c>
      <c r="L117" s="1399">
        <v>53</v>
      </c>
      <c r="M117" s="1399"/>
      <c r="N117" s="1399"/>
      <c r="O117" s="1363">
        <v>499</v>
      </c>
      <c r="P117" s="1362"/>
      <c r="Q117" s="1347">
        <v>0</v>
      </c>
    </row>
    <row r="118" spans="1:125" s="592" customFormat="1">
      <c r="A118" s="1349" t="s">
        <v>471</v>
      </c>
      <c r="B118" s="1413" t="s">
        <v>2398</v>
      </c>
      <c r="C118" s="1330"/>
      <c r="D118" s="1346"/>
      <c r="E118" s="1400"/>
      <c r="F118" s="1365"/>
      <c r="G118" s="1365"/>
      <c r="H118" s="1399"/>
      <c r="I118" s="1399"/>
      <c r="J118" s="1399"/>
      <c r="K118" s="1399"/>
      <c r="L118" s="1399"/>
      <c r="M118" s="1399"/>
      <c r="N118" s="1399"/>
      <c r="O118" s="1363"/>
      <c r="P118" s="1364"/>
      <c r="Q118" s="1347"/>
      <c r="R118" s="1320"/>
      <c r="S118" s="1320"/>
      <c r="T118" s="1320"/>
      <c r="U118" s="1320"/>
      <c r="V118" s="1320"/>
      <c r="W118" s="1320"/>
      <c r="X118" s="1320"/>
      <c r="Y118" s="1320"/>
      <c r="Z118" s="1320"/>
      <c r="AA118" s="1320"/>
      <c r="AB118" s="1320"/>
      <c r="AC118" s="1320"/>
      <c r="AD118" s="1320"/>
      <c r="AE118" s="1320"/>
      <c r="AF118" s="1320"/>
      <c r="AG118" s="1320"/>
      <c r="AH118" s="1320"/>
      <c r="AI118" s="1320"/>
      <c r="AJ118" s="1320"/>
      <c r="AK118" s="1320"/>
      <c r="AL118" s="1320"/>
      <c r="AM118" s="1320"/>
      <c r="AN118" s="1320"/>
      <c r="AO118" s="1320"/>
      <c r="AP118" s="1320"/>
      <c r="AQ118" s="1320"/>
      <c r="AR118" s="1320"/>
      <c r="AS118" s="1320"/>
      <c r="AT118" s="1320"/>
      <c r="AU118" s="1320"/>
      <c r="AV118" s="1320"/>
      <c r="AW118" s="1320"/>
      <c r="AX118" s="1320"/>
      <c r="AY118" s="1320"/>
      <c r="AZ118" s="1320"/>
      <c r="BA118" s="1320"/>
      <c r="BB118" s="1320"/>
      <c r="BC118" s="1320"/>
      <c r="BD118" s="1320"/>
      <c r="BE118" s="1320"/>
      <c r="BF118" s="1320"/>
      <c r="BG118" s="1320"/>
      <c r="BH118" s="1320"/>
      <c r="BI118" s="1320"/>
      <c r="BJ118" s="1320"/>
      <c r="BK118" s="1320"/>
      <c r="BL118" s="1320"/>
      <c r="BM118" s="1320"/>
      <c r="BN118" s="1320"/>
      <c r="BO118" s="1320"/>
      <c r="BP118" s="1320"/>
      <c r="BQ118" s="1320"/>
      <c r="BR118" s="1320"/>
      <c r="BS118" s="1320"/>
      <c r="BT118" s="1320"/>
      <c r="BU118" s="1320"/>
      <c r="BV118" s="1320"/>
      <c r="BW118" s="1320"/>
      <c r="BX118" s="1320"/>
      <c r="BY118" s="1320"/>
      <c r="BZ118" s="1320"/>
      <c r="CA118" s="1320"/>
      <c r="CB118" s="1320"/>
      <c r="CC118" s="1320"/>
      <c r="CD118" s="1320"/>
      <c r="CE118" s="1320"/>
      <c r="CF118" s="1320"/>
      <c r="CG118" s="1320"/>
      <c r="CH118" s="1320"/>
      <c r="CI118" s="1320"/>
      <c r="CJ118" s="1320"/>
      <c r="CK118" s="1320"/>
      <c r="CL118" s="1320"/>
      <c r="CM118" s="1320"/>
      <c r="CN118" s="1320"/>
      <c r="CO118" s="1320"/>
      <c r="CP118" s="1320"/>
      <c r="CQ118" s="1320"/>
      <c r="CR118" s="1320"/>
      <c r="CS118" s="1320"/>
      <c r="CT118" s="1320"/>
      <c r="CU118" s="1320"/>
      <c r="CV118" s="1320"/>
      <c r="CW118" s="1320"/>
      <c r="CX118" s="1320"/>
      <c r="CY118" s="1320"/>
      <c r="CZ118" s="1320"/>
      <c r="DA118" s="1320"/>
      <c r="DB118" s="1320"/>
      <c r="DC118" s="1320"/>
      <c r="DD118" s="1320"/>
      <c r="DE118" s="1320"/>
      <c r="DF118" s="1320"/>
      <c r="DG118" s="1320"/>
      <c r="DH118" s="1320"/>
      <c r="DI118" s="1320"/>
      <c r="DJ118" s="1320"/>
      <c r="DK118" s="1320"/>
      <c r="DL118" s="1320"/>
      <c r="DM118" s="1320"/>
      <c r="DN118" s="1320"/>
      <c r="DO118" s="1320"/>
      <c r="DP118" s="1320"/>
      <c r="DQ118" s="1320"/>
      <c r="DR118" s="1320"/>
      <c r="DS118" s="1320"/>
      <c r="DT118" s="1320"/>
      <c r="DU118" s="1320"/>
    </row>
    <row r="119" spans="1:125" s="599" customFormat="1">
      <c r="A119" s="1348" t="s">
        <v>2399</v>
      </c>
      <c r="B119" s="1398" t="s">
        <v>2400</v>
      </c>
      <c r="C119" s="1328" t="s">
        <v>2401</v>
      </c>
      <c r="D119" s="1353"/>
      <c r="E119" s="1365">
        <v>11</v>
      </c>
      <c r="F119" s="1365">
        <v>9</v>
      </c>
      <c r="G119" s="1365"/>
      <c r="H119" s="1399"/>
      <c r="I119" s="1399"/>
      <c r="J119" s="1399"/>
      <c r="K119" s="1399"/>
      <c r="L119" s="1399"/>
      <c r="M119" s="1399"/>
      <c r="N119" s="1399"/>
      <c r="O119" s="1363">
        <v>20</v>
      </c>
      <c r="P119" s="1362"/>
      <c r="Q119" s="1347">
        <v>0</v>
      </c>
      <c r="R119" s="642"/>
      <c r="S119" s="642"/>
      <c r="T119" s="642"/>
      <c r="U119" s="642"/>
      <c r="V119" s="642"/>
      <c r="W119" s="642"/>
      <c r="X119" s="642"/>
      <c r="Y119" s="642"/>
      <c r="Z119" s="642"/>
      <c r="AA119" s="642"/>
      <c r="AB119" s="642"/>
      <c r="AC119" s="642"/>
      <c r="AD119" s="642"/>
      <c r="AE119" s="642"/>
      <c r="AF119" s="642"/>
      <c r="AG119" s="642"/>
      <c r="AH119" s="642"/>
      <c r="AI119" s="642"/>
      <c r="AJ119" s="642"/>
      <c r="AK119" s="642"/>
      <c r="AL119" s="642"/>
      <c r="AM119" s="642"/>
      <c r="AN119" s="642"/>
      <c r="AO119" s="642"/>
      <c r="AP119" s="642"/>
      <c r="AQ119" s="642"/>
      <c r="AR119" s="642"/>
      <c r="AS119" s="642"/>
      <c r="AT119" s="642"/>
      <c r="AU119" s="642"/>
      <c r="AV119" s="642"/>
      <c r="AW119" s="642"/>
      <c r="AX119" s="642"/>
      <c r="AY119" s="642"/>
      <c r="AZ119" s="642"/>
      <c r="BA119" s="642"/>
      <c r="BB119" s="642"/>
      <c r="BC119" s="642"/>
      <c r="BD119" s="642"/>
      <c r="BE119" s="642"/>
      <c r="BF119" s="642"/>
      <c r="BG119" s="642"/>
      <c r="BH119" s="642"/>
      <c r="BI119" s="642"/>
      <c r="BJ119" s="642"/>
      <c r="BK119" s="642"/>
      <c r="BL119" s="642"/>
      <c r="BM119" s="642"/>
      <c r="BN119" s="642"/>
      <c r="BO119" s="642"/>
      <c r="BP119" s="642"/>
      <c r="BQ119" s="642"/>
      <c r="BR119" s="642"/>
      <c r="BS119" s="642"/>
      <c r="BT119" s="642"/>
      <c r="BU119" s="642"/>
      <c r="BV119" s="642"/>
      <c r="BW119" s="642"/>
      <c r="BX119" s="642"/>
      <c r="BY119" s="642"/>
      <c r="BZ119" s="642"/>
      <c r="CA119" s="642"/>
      <c r="CB119" s="642"/>
      <c r="CC119" s="642"/>
      <c r="CD119" s="642"/>
      <c r="CE119" s="642"/>
      <c r="CF119" s="642"/>
      <c r="CG119" s="642"/>
      <c r="CH119" s="642"/>
      <c r="CI119" s="642"/>
      <c r="CJ119" s="642"/>
      <c r="CK119" s="642"/>
      <c r="CL119" s="642"/>
      <c r="CM119" s="642"/>
      <c r="CN119" s="642"/>
      <c r="CO119" s="642"/>
      <c r="CP119" s="642"/>
      <c r="CQ119" s="642"/>
      <c r="CR119" s="642"/>
      <c r="CS119" s="642"/>
      <c r="CT119" s="642"/>
      <c r="CU119" s="642"/>
      <c r="CV119" s="642"/>
      <c r="CW119" s="642"/>
      <c r="CX119" s="642"/>
      <c r="CY119" s="642"/>
      <c r="CZ119" s="642"/>
      <c r="DA119" s="642"/>
      <c r="DB119" s="642"/>
      <c r="DC119" s="642"/>
      <c r="DD119" s="642"/>
      <c r="DE119" s="642"/>
      <c r="DF119" s="642"/>
      <c r="DG119" s="642"/>
      <c r="DH119" s="642"/>
      <c r="DI119" s="642"/>
      <c r="DJ119" s="642"/>
      <c r="DK119" s="642"/>
      <c r="DL119" s="642"/>
      <c r="DM119" s="642"/>
      <c r="DN119" s="642"/>
      <c r="DO119" s="642"/>
      <c r="DP119" s="642"/>
      <c r="DQ119" s="642"/>
      <c r="DR119" s="642"/>
      <c r="DS119" s="642"/>
      <c r="DT119" s="642"/>
      <c r="DU119" s="642"/>
    </row>
    <row r="120" spans="1:125">
      <c r="A120" s="1348" t="s">
        <v>2402</v>
      </c>
      <c r="B120" s="1398" t="s">
        <v>2403</v>
      </c>
      <c r="C120" s="1327" t="s">
        <v>2404</v>
      </c>
      <c r="D120" s="1353" t="s">
        <v>18</v>
      </c>
      <c r="E120" s="1365">
        <v>71</v>
      </c>
      <c r="F120" s="1365">
        <v>54</v>
      </c>
      <c r="G120" s="1365">
        <v>45</v>
      </c>
      <c r="H120" s="1399"/>
      <c r="I120" s="1399"/>
      <c r="J120" s="1399"/>
      <c r="K120" s="1399">
        <v>276</v>
      </c>
      <c r="L120" s="1399">
        <v>53</v>
      </c>
      <c r="M120" s="1399"/>
      <c r="N120" s="1399"/>
      <c r="O120" s="1363">
        <v>499</v>
      </c>
      <c r="P120" s="1362"/>
      <c r="Q120" s="1347">
        <v>0</v>
      </c>
    </row>
    <row r="121" spans="1:125" s="599" customFormat="1" ht="18">
      <c r="A121" s="1348" t="s">
        <v>2405</v>
      </c>
      <c r="B121" s="1398" t="s">
        <v>2406</v>
      </c>
      <c r="C121" s="1327" t="s">
        <v>2407</v>
      </c>
      <c r="D121" s="1353" t="s">
        <v>18</v>
      </c>
      <c r="E121" s="1400"/>
      <c r="F121" s="1365"/>
      <c r="G121" s="1365"/>
      <c r="H121" s="1399">
        <v>198</v>
      </c>
      <c r="I121" s="1399"/>
      <c r="J121" s="1399">
        <v>68</v>
      </c>
      <c r="K121" s="1399"/>
      <c r="L121" s="1399"/>
      <c r="M121" s="1399">
        <v>264</v>
      </c>
      <c r="N121" s="1399"/>
      <c r="O121" s="1363">
        <v>530</v>
      </c>
      <c r="P121" s="1362"/>
      <c r="Q121" s="1347">
        <v>0</v>
      </c>
      <c r="R121" s="642"/>
      <c r="S121" s="642"/>
      <c r="T121" s="642"/>
      <c r="U121" s="642"/>
      <c r="V121" s="642"/>
      <c r="W121" s="642"/>
      <c r="X121" s="642"/>
      <c r="Y121" s="642"/>
      <c r="Z121" s="642"/>
      <c r="AA121" s="642"/>
      <c r="AB121" s="642"/>
      <c r="AC121" s="642"/>
      <c r="AD121" s="642"/>
      <c r="AE121" s="642"/>
      <c r="AF121" s="642"/>
      <c r="AG121" s="642"/>
      <c r="AH121" s="642"/>
      <c r="AI121" s="642"/>
      <c r="AJ121" s="642"/>
      <c r="AK121" s="642"/>
      <c r="AL121" s="642"/>
      <c r="AM121" s="642"/>
      <c r="AN121" s="642"/>
      <c r="AO121" s="642"/>
      <c r="AP121" s="642"/>
      <c r="AQ121" s="642"/>
      <c r="AR121" s="642"/>
      <c r="AS121" s="642"/>
      <c r="AT121" s="642"/>
      <c r="AU121" s="642"/>
      <c r="AV121" s="642"/>
      <c r="AW121" s="642"/>
      <c r="AX121" s="642"/>
      <c r="AY121" s="642"/>
      <c r="AZ121" s="642"/>
      <c r="BA121" s="642"/>
      <c r="BB121" s="642"/>
      <c r="BC121" s="642"/>
      <c r="BD121" s="642"/>
      <c r="BE121" s="642"/>
      <c r="BF121" s="642"/>
      <c r="BG121" s="642"/>
      <c r="BH121" s="642"/>
      <c r="BI121" s="642"/>
      <c r="BJ121" s="642"/>
      <c r="BK121" s="642"/>
      <c r="BL121" s="642"/>
      <c r="BM121" s="642"/>
      <c r="BN121" s="642"/>
      <c r="BO121" s="642"/>
      <c r="BP121" s="642"/>
      <c r="BQ121" s="642"/>
      <c r="BR121" s="642"/>
      <c r="BS121" s="642"/>
      <c r="BT121" s="642"/>
      <c r="BU121" s="642"/>
      <c r="BV121" s="642"/>
      <c r="BW121" s="642"/>
      <c r="BX121" s="642"/>
      <c r="BY121" s="642"/>
      <c r="BZ121" s="642"/>
      <c r="CA121" s="642"/>
      <c r="CB121" s="642"/>
      <c r="CC121" s="642"/>
      <c r="CD121" s="642"/>
      <c r="CE121" s="642"/>
      <c r="CF121" s="642"/>
      <c r="CG121" s="642"/>
      <c r="CH121" s="642"/>
      <c r="CI121" s="642"/>
      <c r="CJ121" s="642"/>
      <c r="CK121" s="642"/>
      <c r="CL121" s="642"/>
      <c r="CM121" s="642"/>
      <c r="CN121" s="642"/>
      <c r="CO121" s="642"/>
      <c r="CP121" s="642"/>
      <c r="CQ121" s="642"/>
      <c r="CR121" s="642"/>
      <c r="CS121" s="642"/>
      <c r="CT121" s="642"/>
      <c r="CU121" s="642"/>
      <c r="CV121" s="642"/>
      <c r="CW121" s="642"/>
      <c r="CX121" s="642"/>
      <c r="CY121" s="642"/>
      <c r="CZ121" s="642"/>
      <c r="DA121" s="642"/>
      <c r="DB121" s="642"/>
      <c r="DC121" s="642"/>
      <c r="DD121" s="642"/>
      <c r="DE121" s="642"/>
      <c r="DF121" s="642"/>
      <c r="DG121" s="642"/>
      <c r="DH121" s="642"/>
      <c r="DI121" s="642"/>
      <c r="DJ121" s="642"/>
      <c r="DK121" s="642"/>
      <c r="DL121" s="642"/>
      <c r="DM121" s="642"/>
      <c r="DN121" s="642"/>
      <c r="DO121" s="642"/>
      <c r="DP121" s="642"/>
      <c r="DQ121" s="642"/>
      <c r="DR121" s="642"/>
      <c r="DS121" s="642"/>
      <c r="DT121" s="642"/>
      <c r="DU121" s="642"/>
    </row>
    <row r="122" spans="1:125" ht="18">
      <c r="A122" s="1348" t="s">
        <v>2408</v>
      </c>
      <c r="B122" s="1398" t="s">
        <v>2409</v>
      </c>
      <c r="C122" s="1327" t="s">
        <v>2407</v>
      </c>
      <c r="D122" s="1353" t="s">
        <v>18</v>
      </c>
      <c r="E122" s="1400"/>
      <c r="F122" s="1365"/>
      <c r="G122" s="1365"/>
      <c r="H122" s="1399">
        <v>62</v>
      </c>
      <c r="I122" s="1399">
        <v>13</v>
      </c>
      <c r="J122" s="1399">
        <v>74</v>
      </c>
      <c r="K122" s="1399"/>
      <c r="L122" s="1399"/>
      <c r="M122" s="1399">
        <v>244</v>
      </c>
      <c r="N122" s="1399"/>
      <c r="O122" s="1363">
        <v>393</v>
      </c>
      <c r="P122" s="1362"/>
      <c r="Q122" s="1347">
        <v>0</v>
      </c>
    </row>
    <row r="123" spans="1:125" ht="15">
      <c r="A123" s="1349" t="s">
        <v>2410</v>
      </c>
      <c r="B123" s="1414" t="s">
        <v>2411</v>
      </c>
      <c r="C123" s="1325"/>
      <c r="D123" s="1346" t="s">
        <v>18</v>
      </c>
      <c r="E123" s="1400"/>
      <c r="F123" s="1365"/>
      <c r="G123" s="1365"/>
      <c r="H123" s="1399"/>
      <c r="I123" s="1399"/>
      <c r="J123" s="1399"/>
      <c r="K123" s="1399"/>
      <c r="L123" s="1399"/>
      <c r="M123" s="1399"/>
      <c r="N123" s="1399"/>
      <c r="O123" s="1363"/>
      <c r="P123" s="1364"/>
      <c r="Q123" s="1347"/>
      <c r="R123" s="1336"/>
      <c r="S123" s="1336"/>
      <c r="T123" s="1336"/>
      <c r="U123" s="1336"/>
      <c r="V123" s="1336"/>
      <c r="W123" s="1336"/>
      <c r="X123" s="1336"/>
      <c r="Y123" s="1336"/>
      <c r="Z123" s="1336"/>
      <c r="AA123" s="1336"/>
      <c r="AB123" s="1336"/>
      <c r="AC123" s="1336"/>
      <c r="AD123" s="1336"/>
      <c r="AE123" s="1336"/>
      <c r="AF123" s="1336"/>
      <c r="AG123" s="1336"/>
      <c r="AH123" s="1336"/>
      <c r="AI123" s="1336"/>
      <c r="AJ123" s="1336"/>
      <c r="AK123" s="1336"/>
      <c r="AL123" s="1336"/>
      <c r="AM123" s="1336"/>
      <c r="AN123" s="1336"/>
      <c r="AO123" s="1336"/>
      <c r="AP123" s="1336"/>
      <c r="AQ123" s="1336"/>
      <c r="AR123" s="1336"/>
    </row>
    <row r="124" spans="1:125" s="821" customFormat="1" ht="18.75">
      <c r="A124" s="1348" t="s">
        <v>2412</v>
      </c>
      <c r="B124" s="1398" t="s">
        <v>2413</v>
      </c>
      <c r="C124" s="1327" t="s">
        <v>2414</v>
      </c>
      <c r="D124" s="1353" t="s">
        <v>18</v>
      </c>
      <c r="E124" s="1400"/>
      <c r="F124" s="1365"/>
      <c r="G124" s="1365"/>
      <c r="H124" s="1399">
        <v>198</v>
      </c>
      <c r="I124" s="1399"/>
      <c r="J124" s="1399">
        <v>68</v>
      </c>
      <c r="K124" s="1399"/>
      <c r="L124" s="1399"/>
      <c r="M124" s="1399">
        <v>264</v>
      </c>
      <c r="N124" s="1399"/>
      <c r="O124" s="1363">
        <v>530</v>
      </c>
      <c r="P124" s="1362"/>
      <c r="Q124" s="1347">
        <v>0</v>
      </c>
      <c r="R124" s="1336"/>
      <c r="S124" s="1336"/>
      <c r="T124" s="1336"/>
      <c r="U124" s="1336"/>
      <c r="V124" s="1336"/>
      <c r="W124" s="1336"/>
      <c r="X124" s="1336"/>
      <c r="Y124" s="1336"/>
      <c r="Z124" s="1336"/>
      <c r="AA124" s="1336"/>
      <c r="AB124" s="1336"/>
      <c r="AC124" s="1336"/>
      <c r="AD124" s="1336"/>
      <c r="AE124" s="1336"/>
      <c r="AF124" s="1336"/>
      <c r="AG124" s="1336"/>
      <c r="AH124" s="1336"/>
      <c r="AI124" s="1336"/>
      <c r="AJ124" s="1336"/>
      <c r="AK124" s="1336"/>
      <c r="AL124" s="1336"/>
      <c r="AM124" s="1336"/>
      <c r="AN124" s="1336"/>
      <c r="AO124" s="1336"/>
      <c r="AP124" s="1336"/>
      <c r="AQ124" s="1336"/>
      <c r="AR124" s="1336"/>
      <c r="AS124" s="680"/>
      <c r="AT124" s="680"/>
      <c r="AU124" s="680"/>
      <c r="AV124" s="680"/>
      <c r="AW124" s="680"/>
      <c r="AX124" s="680"/>
      <c r="AY124" s="680"/>
      <c r="AZ124" s="680"/>
      <c r="BA124" s="680"/>
      <c r="BB124" s="680"/>
      <c r="BC124" s="680"/>
      <c r="BD124" s="680"/>
      <c r="BE124" s="680"/>
      <c r="BF124" s="680"/>
      <c r="BG124" s="680"/>
      <c r="BH124" s="680"/>
      <c r="BI124" s="680"/>
      <c r="BJ124" s="680"/>
      <c r="BK124" s="680"/>
      <c r="BL124" s="680"/>
      <c r="BM124" s="680"/>
      <c r="BN124" s="680"/>
      <c r="BO124" s="680"/>
      <c r="BP124" s="680"/>
      <c r="BQ124" s="680"/>
      <c r="BR124" s="680"/>
      <c r="BS124" s="680"/>
      <c r="BT124" s="680"/>
      <c r="BU124" s="680"/>
      <c r="BV124" s="680"/>
      <c r="BW124" s="680"/>
      <c r="BX124" s="680"/>
      <c r="BY124" s="680"/>
      <c r="BZ124" s="680"/>
      <c r="CA124" s="680"/>
      <c r="CB124" s="680"/>
      <c r="CC124" s="680"/>
      <c r="CD124" s="680"/>
      <c r="CE124" s="680"/>
      <c r="CF124" s="680"/>
      <c r="CG124" s="680"/>
      <c r="CH124" s="680"/>
      <c r="CI124" s="680"/>
      <c r="CJ124" s="680"/>
      <c r="CK124" s="680"/>
      <c r="CL124" s="680"/>
      <c r="CM124" s="680"/>
      <c r="CN124" s="680"/>
      <c r="CO124" s="680"/>
      <c r="CP124" s="680"/>
      <c r="CQ124" s="680"/>
      <c r="CR124" s="680"/>
      <c r="CS124" s="680"/>
      <c r="CT124" s="680"/>
      <c r="CU124" s="680"/>
      <c r="CV124" s="680"/>
      <c r="CW124" s="680"/>
      <c r="CX124" s="680"/>
      <c r="CY124" s="680"/>
      <c r="CZ124" s="680"/>
      <c r="DA124" s="680"/>
      <c r="DB124" s="680"/>
      <c r="DC124" s="680"/>
      <c r="DD124" s="680"/>
      <c r="DE124" s="680"/>
      <c r="DF124" s="680"/>
      <c r="DG124" s="680"/>
      <c r="DH124" s="680"/>
      <c r="DI124" s="680"/>
      <c r="DJ124" s="680"/>
      <c r="DK124" s="680"/>
      <c r="DL124" s="680"/>
      <c r="DM124" s="680"/>
      <c r="DN124" s="680"/>
      <c r="DO124" s="680"/>
      <c r="DP124" s="680"/>
      <c r="DQ124" s="680"/>
      <c r="DR124" s="680"/>
      <c r="DS124" s="680"/>
      <c r="DT124" s="680"/>
      <c r="DU124" s="680"/>
    </row>
    <row r="125" spans="1:125" s="821" customFormat="1" ht="18.75">
      <c r="A125" s="1348" t="s">
        <v>2415</v>
      </c>
      <c r="B125" s="1398" t="s">
        <v>2416</v>
      </c>
      <c r="C125" s="1327" t="s">
        <v>2414</v>
      </c>
      <c r="D125" s="1353" t="s">
        <v>18</v>
      </c>
      <c r="E125" s="1400"/>
      <c r="F125" s="1365"/>
      <c r="G125" s="1365"/>
      <c r="H125" s="1399">
        <v>62</v>
      </c>
      <c r="I125" s="1399">
        <v>13</v>
      </c>
      <c r="J125" s="1399">
        <v>74</v>
      </c>
      <c r="K125" s="1399"/>
      <c r="L125" s="1399"/>
      <c r="M125" s="1399">
        <v>244</v>
      </c>
      <c r="N125" s="1399"/>
      <c r="O125" s="1363">
        <v>393</v>
      </c>
      <c r="P125" s="1362"/>
      <c r="Q125" s="1347">
        <v>0</v>
      </c>
      <c r="R125" s="1336"/>
      <c r="S125" s="1336"/>
      <c r="T125" s="1336"/>
      <c r="U125" s="1336"/>
      <c r="V125" s="1336"/>
      <c r="W125" s="1336"/>
      <c r="X125" s="1336"/>
      <c r="Y125" s="1336"/>
      <c r="Z125" s="1336"/>
      <c r="AA125" s="1336"/>
      <c r="AB125" s="1336"/>
      <c r="AC125" s="1336"/>
      <c r="AD125" s="1336"/>
      <c r="AE125" s="1336"/>
      <c r="AF125" s="1336"/>
      <c r="AG125" s="1336"/>
      <c r="AH125" s="1336"/>
      <c r="AI125" s="1336"/>
      <c r="AJ125" s="1336"/>
      <c r="AK125" s="1336"/>
      <c r="AL125" s="1336"/>
      <c r="AM125" s="1336"/>
      <c r="AN125" s="1336"/>
      <c r="AO125" s="1336"/>
      <c r="AP125" s="1336"/>
      <c r="AQ125" s="1336"/>
      <c r="AR125" s="1336"/>
      <c r="AS125" s="680"/>
      <c r="AT125" s="680"/>
      <c r="AU125" s="680"/>
      <c r="AV125" s="680"/>
      <c r="AW125" s="680"/>
      <c r="AX125" s="680"/>
      <c r="AY125" s="680"/>
      <c r="AZ125" s="680"/>
      <c r="BA125" s="680"/>
      <c r="BB125" s="680"/>
      <c r="BC125" s="680"/>
      <c r="BD125" s="680"/>
      <c r="BE125" s="680"/>
      <c r="BF125" s="680"/>
      <c r="BG125" s="680"/>
      <c r="BH125" s="680"/>
      <c r="BI125" s="680"/>
      <c r="BJ125" s="680"/>
      <c r="BK125" s="680"/>
      <c r="BL125" s="680"/>
      <c r="BM125" s="680"/>
      <c r="BN125" s="680"/>
      <c r="BO125" s="680"/>
      <c r="BP125" s="680"/>
      <c r="BQ125" s="680"/>
      <c r="BR125" s="680"/>
      <c r="BS125" s="680"/>
      <c r="BT125" s="680"/>
      <c r="BU125" s="680"/>
      <c r="BV125" s="680"/>
      <c r="BW125" s="680"/>
      <c r="BX125" s="680"/>
      <c r="BY125" s="680"/>
      <c r="BZ125" s="680"/>
      <c r="CA125" s="680"/>
      <c r="CB125" s="680"/>
      <c r="CC125" s="680"/>
      <c r="CD125" s="680"/>
      <c r="CE125" s="680"/>
      <c r="CF125" s="680"/>
      <c r="CG125" s="680"/>
      <c r="CH125" s="680"/>
      <c r="CI125" s="680"/>
      <c r="CJ125" s="680"/>
      <c r="CK125" s="680"/>
      <c r="CL125" s="680"/>
      <c r="CM125" s="680"/>
      <c r="CN125" s="680"/>
      <c r="CO125" s="680"/>
      <c r="CP125" s="680"/>
      <c r="CQ125" s="680"/>
      <c r="CR125" s="680"/>
      <c r="CS125" s="680"/>
      <c r="CT125" s="680"/>
      <c r="CU125" s="680"/>
      <c r="CV125" s="680"/>
      <c r="CW125" s="680"/>
      <c r="CX125" s="680"/>
      <c r="CY125" s="680"/>
      <c r="CZ125" s="680"/>
      <c r="DA125" s="680"/>
      <c r="DB125" s="680"/>
      <c r="DC125" s="680"/>
      <c r="DD125" s="680"/>
      <c r="DE125" s="680"/>
      <c r="DF125" s="680"/>
      <c r="DG125" s="680"/>
      <c r="DH125" s="680"/>
      <c r="DI125" s="680"/>
      <c r="DJ125" s="680"/>
      <c r="DK125" s="680"/>
      <c r="DL125" s="680"/>
      <c r="DM125" s="680"/>
      <c r="DN125" s="680"/>
      <c r="DO125" s="680"/>
      <c r="DP125" s="680"/>
      <c r="DQ125" s="680"/>
      <c r="DR125" s="680"/>
      <c r="DS125" s="680"/>
      <c r="DT125" s="680"/>
      <c r="DU125" s="680"/>
    </row>
    <row r="126" spans="1:125" s="821" customFormat="1">
      <c r="A126" s="1349" t="s">
        <v>2417</v>
      </c>
      <c r="B126" s="1415" t="s">
        <v>605</v>
      </c>
      <c r="C126" s="1325" t="s">
        <v>604</v>
      </c>
      <c r="D126" s="1346" t="s">
        <v>236</v>
      </c>
      <c r="E126" s="1365">
        <v>10</v>
      </c>
      <c r="F126" s="1365">
        <v>9</v>
      </c>
      <c r="G126" s="1365">
        <v>5</v>
      </c>
      <c r="H126" s="1399">
        <v>8</v>
      </c>
      <c r="I126" s="1399">
        <v>5.5</v>
      </c>
      <c r="J126" s="1399">
        <v>2.4</v>
      </c>
      <c r="K126" s="1399">
        <v>2</v>
      </c>
      <c r="L126" s="1399">
        <v>5</v>
      </c>
      <c r="M126" s="1399">
        <v>10</v>
      </c>
      <c r="N126" s="1399"/>
      <c r="O126" s="1363">
        <v>56.9</v>
      </c>
      <c r="P126" s="1362"/>
      <c r="Q126" s="1347">
        <v>0</v>
      </c>
      <c r="R126" s="1345"/>
      <c r="S126" s="1345"/>
      <c r="T126" s="1345"/>
      <c r="U126" s="1345"/>
      <c r="V126" s="1345"/>
      <c r="W126" s="1345"/>
      <c r="X126" s="1345"/>
      <c r="Y126" s="1345"/>
      <c r="Z126" s="1345"/>
      <c r="AA126" s="1345"/>
      <c r="AB126" s="1345"/>
      <c r="AC126" s="1345"/>
      <c r="AD126" s="1345"/>
      <c r="AE126" s="1345"/>
      <c r="AF126" s="1345"/>
      <c r="AG126" s="1345"/>
      <c r="AH126" s="1345"/>
      <c r="AI126" s="1345"/>
      <c r="AJ126" s="1345"/>
      <c r="AK126" s="1345"/>
      <c r="AL126" s="1345"/>
      <c r="AM126" s="1345"/>
      <c r="AN126" s="1345"/>
      <c r="AO126" s="1345"/>
      <c r="AP126" s="1345"/>
      <c r="AQ126" s="1345"/>
      <c r="AR126" s="1345"/>
      <c r="AS126" s="680"/>
      <c r="AT126" s="680"/>
      <c r="AU126" s="680"/>
      <c r="AV126" s="680"/>
      <c r="AW126" s="680"/>
      <c r="AX126" s="680"/>
      <c r="AY126" s="680"/>
      <c r="AZ126" s="680"/>
      <c r="BA126" s="680"/>
      <c r="BB126" s="680"/>
      <c r="BC126" s="680"/>
      <c r="BD126" s="680"/>
      <c r="BE126" s="680"/>
      <c r="BF126" s="680"/>
      <c r="BG126" s="680"/>
      <c r="BH126" s="680"/>
      <c r="BI126" s="680"/>
      <c r="BJ126" s="680"/>
      <c r="BK126" s="680"/>
      <c r="BL126" s="680"/>
      <c r="BM126" s="680"/>
      <c r="BN126" s="680"/>
      <c r="BO126" s="680"/>
      <c r="BP126" s="680"/>
      <c r="BQ126" s="680"/>
      <c r="BR126" s="680"/>
      <c r="BS126" s="680"/>
      <c r="BT126" s="680"/>
      <c r="BU126" s="680"/>
      <c r="BV126" s="680"/>
      <c r="BW126" s="680"/>
      <c r="BX126" s="680"/>
      <c r="BY126" s="680"/>
      <c r="BZ126" s="680"/>
      <c r="CA126" s="680"/>
      <c r="CB126" s="680"/>
      <c r="CC126" s="680"/>
      <c r="CD126" s="680"/>
      <c r="CE126" s="680"/>
      <c r="CF126" s="680"/>
      <c r="CG126" s="680"/>
      <c r="CH126" s="680"/>
      <c r="CI126" s="680"/>
      <c r="CJ126" s="680"/>
      <c r="CK126" s="680"/>
      <c r="CL126" s="680"/>
      <c r="CM126" s="680"/>
      <c r="CN126" s="680"/>
      <c r="CO126" s="680"/>
      <c r="CP126" s="680"/>
      <c r="CQ126" s="680"/>
      <c r="CR126" s="680"/>
      <c r="CS126" s="680"/>
      <c r="CT126" s="680"/>
      <c r="CU126" s="680"/>
      <c r="CV126" s="680"/>
      <c r="CW126" s="680"/>
      <c r="CX126" s="680"/>
      <c r="CY126" s="680"/>
      <c r="CZ126" s="680"/>
      <c r="DA126" s="680"/>
      <c r="DB126" s="680"/>
      <c r="DC126" s="680"/>
      <c r="DD126" s="680"/>
      <c r="DE126" s="680"/>
      <c r="DF126" s="680"/>
      <c r="DG126" s="680"/>
      <c r="DH126" s="680"/>
      <c r="DI126" s="680"/>
      <c r="DJ126" s="680"/>
      <c r="DK126" s="680"/>
      <c r="DL126" s="680"/>
      <c r="DM126" s="680"/>
      <c r="DN126" s="680"/>
      <c r="DO126" s="680"/>
      <c r="DP126" s="680"/>
      <c r="DQ126" s="680"/>
      <c r="DR126" s="680"/>
      <c r="DS126" s="680"/>
      <c r="DT126" s="680"/>
      <c r="DU126" s="680"/>
    </row>
    <row r="127" spans="1:125" s="821" customFormat="1" ht="15">
      <c r="A127" s="1349" t="s">
        <v>2418</v>
      </c>
      <c r="B127" s="1412" t="s">
        <v>563</v>
      </c>
      <c r="C127" s="1323"/>
      <c r="D127" s="1346"/>
      <c r="E127" s="1365"/>
      <c r="F127" s="1365"/>
      <c r="G127" s="1365"/>
      <c r="H127" s="1399"/>
      <c r="I127" s="1399"/>
      <c r="J127" s="1399"/>
      <c r="K127" s="1399"/>
      <c r="L127" s="1399"/>
      <c r="M127" s="1399"/>
      <c r="N127" s="1399"/>
      <c r="O127" s="1363"/>
      <c r="P127" s="1364"/>
      <c r="Q127" s="1347"/>
      <c r="R127" s="1336"/>
      <c r="S127" s="1336"/>
      <c r="T127" s="1336"/>
      <c r="U127" s="1336"/>
      <c r="V127" s="1336"/>
      <c r="W127" s="1336"/>
      <c r="X127" s="1336"/>
      <c r="Y127" s="1336"/>
      <c r="Z127" s="1336"/>
      <c r="AA127" s="1336"/>
      <c r="AB127" s="1336"/>
      <c r="AC127" s="1336"/>
      <c r="AD127" s="1336"/>
      <c r="AE127" s="1336"/>
      <c r="AF127" s="1336"/>
      <c r="AG127" s="1336"/>
      <c r="AH127" s="1336"/>
      <c r="AI127" s="1336"/>
      <c r="AJ127" s="1336"/>
      <c r="AK127" s="1336"/>
      <c r="AL127" s="1336"/>
      <c r="AM127" s="1336"/>
      <c r="AN127" s="1336"/>
      <c r="AO127" s="1336"/>
      <c r="AP127" s="1336"/>
      <c r="AQ127" s="1336"/>
      <c r="AR127" s="1336"/>
      <c r="AS127" s="680"/>
      <c r="AT127" s="680"/>
      <c r="AU127" s="680"/>
      <c r="AV127" s="680"/>
      <c r="AW127" s="680"/>
      <c r="AX127" s="680"/>
      <c r="AY127" s="680"/>
      <c r="AZ127" s="680"/>
      <c r="BA127" s="680"/>
      <c r="BB127" s="680"/>
      <c r="BC127" s="680"/>
      <c r="BD127" s="680"/>
      <c r="BE127" s="680"/>
      <c r="BF127" s="680"/>
      <c r="BG127" s="680"/>
      <c r="BH127" s="680"/>
      <c r="BI127" s="680"/>
      <c r="BJ127" s="680"/>
      <c r="BK127" s="680"/>
      <c r="BL127" s="680"/>
      <c r="BM127" s="680"/>
      <c r="BN127" s="680"/>
      <c r="BO127" s="680"/>
      <c r="BP127" s="680"/>
      <c r="BQ127" s="680"/>
      <c r="BR127" s="680"/>
      <c r="BS127" s="680"/>
      <c r="BT127" s="680"/>
      <c r="BU127" s="680"/>
      <c r="BV127" s="680"/>
      <c r="BW127" s="680"/>
      <c r="BX127" s="680"/>
      <c r="BY127" s="680"/>
      <c r="BZ127" s="680"/>
      <c r="CA127" s="680"/>
      <c r="CB127" s="680"/>
      <c r="CC127" s="680"/>
      <c r="CD127" s="680"/>
      <c r="CE127" s="680"/>
      <c r="CF127" s="680"/>
      <c r="CG127" s="680"/>
      <c r="CH127" s="680"/>
      <c r="CI127" s="680"/>
      <c r="CJ127" s="680"/>
      <c r="CK127" s="680"/>
      <c r="CL127" s="680"/>
      <c r="CM127" s="680"/>
      <c r="CN127" s="680"/>
      <c r="CO127" s="680"/>
      <c r="CP127" s="680"/>
      <c r="CQ127" s="680"/>
      <c r="CR127" s="680"/>
      <c r="CS127" s="680"/>
      <c r="CT127" s="680"/>
      <c r="CU127" s="680"/>
      <c r="CV127" s="680"/>
      <c r="CW127" s="680"/>
      <c r="CX127" s="680"/>
      <c r="CY127" s="680"/>
      <c r="CZ127" s="680"/>
      <c r="DA127" s="680"/>
      <c r="DB127" s="680"/>
      <c r="DC127" s="680"/>
      <c r="DD127" s="680"/>
      <c r="DE127" s="680"/>
      <c r="DF127" s="680"/>
      <c r="DG127" s="680"/>
      <c r="DH127" s="680"/>
      <c r="DI127" s="680"/>
      <c r="DJ127" s="680"/>
      <c r="DK127" s="680"/>
      <c r="DL127" s="680"/>
      <c r="DM127" s="680"/>
      <c r="DN127" s="680"/>
      <c r="DO127" s="680"/>
      <c r="DP127" s="680"/>
      <c r="DQ127" s="680"/>
      <c r="DR127" s="680"/>
      <c r="DS127" s="680"/>
      <c r="DT127" s="680"/>
      <c r="DU127" s="680"/>
    </row>
    <row r="128" spans="1:125" s="821" customFormat="1" ht="15">
      <c r="A128" s="1348" t="s">
        <v>2419</v>
      </c>
      <c r="B128" s="1395" t="s">
        <v>547</v>
      </c>
      <c r="C128" s="1327" t="s">
        <v>497</v>
      </c>
      <c r="D128" s="1353" t="s">
        <v>236</v>
      </c>
      <c r="E128" s="1365">
        <v>63.5</v>
      </c>
      <c r="F128" s="1365">
        <v>57.5</v>
      </c>
      <c r="G128" s="1365">
        <v>45</v>
      </c>
      <c r="H128" s="1399">
        <v>13</v>
      </c>
      <c r="I128" s="1399">
        <v>4.05</v>
      </c>
      <c r="J128" s="1399">
        <v>22.5</v>
      </c>
      <c r="K128" s="1399">
        <v>39</v>
      </c>
      <c r="L128" s="1399">
        <v>25</v>
      </c>
      <c r="M128" s="1399">
        <v>24.85</v>
      </c>
      <c r="N128" s="1399"/>
      <c r="O128" s="1363">
        <v>294.40000000000003</v>
      </c>
      <c r="P128" s="1362"/>
      <c r="Q128" s="1347">
        <v>0</v>
      </c>
      <c r="R128" s="1336"/>
      <c r="S128" s="1336"/>
      <c r="T128" s="1336"/>
      <c r="U128" s="1336"/>
      <c r="V128" s="1336"/>
      <c r="W128" s="1336"/>
      <c r="X128" s="1336"/>
      <c r="Y128" s="1336"/>
      <c r="Z128" s="1336"/>
      <c r="AA128" s="1336"/>
      <c r="AB128" s="1336"/>
      <c r="AC128" s="1336"/>
      <c r="AD128" s="1336"/>
      <c r="AE128" s="1336"/>
      <c r="AF128" s="1336"/>
      <c r="AG128" s="1336"/>
      <c r="AH128" s="1336"/>
      <c r="AI128" s="1336"/>
      <c r="AJ128" s="1336"/>
      <c r="AK128" s="1336"/>
      <c r="AL128" s="1336"/>
      <c r="AM128" s="1336"/>
      <c r="AN128" s="1336"/>
      <c r="AO128" s="1336"/>
      <c r="AP128" s="1336"/>
      <c r="AQ128" s="1336"/>
      <c r="AR128" s="1336"/>
      <c r="AS128" s="680"/>
      <c r="AT128" s="680"/>
      <c r="AU128" s="680"/>
      <c r="AV128" s="680"/>
      <c r="AW128" s="680"/>
      <c r="AX128" s="680"/>
      <c r="AY128" s="680"/>
      <c r="AZ128" s="680"/>
      <c r="BA128" s="680"/>
      <c r="BB128" s="680"/>
      <c r="BC128" s="680"/>
      <c r="BD128" s="680"/>
      <c r="BE128" s="680"/>
      <c r="BF128" s="680"/>
      <c r="BG128" s="680"/>
      <c r="BH128" s="680"/>
      <c r="BI128" s="680"/>
      <c r="BJ128" s="680"/>
      <c r="BK128" s="680"/>
      <c r="BL128" s="680"/>
      <c r="BM128" s="680"/>
      <c r="BN128" s="680"/>
      <c r="BO128" s="680"/>
      <c r="BP128" s="680"/>
      <c r="BQ128" s="680"/>
      <c r="BR128" s="680"/>
      <c r="BS128" s="680"/>
      <c r="BT128" s="680"/>
      <c r="BU128" s="680"/>
      <c r="BV128" s="680"/>
      <c r="BW128" s="680"/>
      <c r="BX128" s="680"/>
      <c r="BY128" s="680"/>
      <c r="BZ128" s="680"/>
      <c r="CA128" s="680"/>
      <c r="CB128" s="680"/>
      <c r="CC128" s="680"/>
      <c r="CD128" s="680"/>
      <c r="CE128" s="680"/>
      <c r="CF128" s="680"/>
      <c r="CG128" s="680"/>
      <c r="CH128" s="680"/>
      <c r="CI128" s="680"/>
      <c r="CJ128" s="680"/>
      <c r="CK128" s="680"/>
      <c r="CL128" s="680"/>
      <c r="CM128" s="680"/>
      <c r="CN128" s="680"/>
      <c r="CO128" s="680"/>
      <c r="CP128" s="680"/>
      <c r="CQ128" s="680"/>
      <c r="CR128" s="680"/>
      <c r="CS128" s="680"/>
      <c r="CT128" s="680"/>
      <c r="CU128" s="680"/>
      <c r="CV128" s="680"/>
      <c r="CW128" s="680"/>
      <c r="CX128" s="680"/>
      <c r="CY128" s="680"/>
      <c r="CZ128" s="680"/>
      <c r="DA128" s="680"/>
      <c r="DB128" s="680"/>
      <c r="DC128" s="680"/>
      <c r="DD128" s="680"/>
      <c r="DE128" s="680"/>
      <c r="DF128" s="680"/>
      <c r="DG128" s="680"/>
      <c r="DH128" s="680"/>
      <c r="DI128" s="680"/>
      <c r="DJ128" s="680"/>
      <c r="DK128" s="680"/>
      <c r="DL128" s="680"/>
      <c r="DM128" s="680"/>
      <c r="DN128" s="680"/>
      <c r="DO128" s="680"/>
      <c r="DP128" s="680"/>
      <c r="DQ128" s="680"/>
      <c r="DR128" s="680"/>
      <c r="DS128" s="680"/>
      <c r="DT128" s="680"/>
      <c r="DU128" s="680"/>
    </row>
    <row r="129" spans="1:125" s="595" customFormat="1" ht="15">
      <c r="A129" s="1348" t="s">
        <v>2420</v>
      </c>
      <c r="B129" s="1395" t="s">
        <v>562</v>
      </c>
      <c r="C129" s="1327" t="s">
        <v>497</v>
      </c>
      <c r="D129" s="1353" t="s">
        <v>236</v>
      </c>
      <c r="E129" s="1365"/>
      <c r="F129" s="1365" t="s">
        <v>532</v>
      </c>
      <c r="G129" s="1365"/>
      <c r="H129" s="1399">
        <v>28</v>
      </c>
      <c r="I129" s="1399">
        <v>6</v>
      </c>
      <c r="J129" s="1399">
        <v>10.32</v>
      </c>
      <c r="K129" s="1399"/>
      <c r="L129" s="1399"/>
      <c r="M129" s="1399">
        <v>27.9</v>
      </c>
      <c r="N129" s="1399"/>
      <c r="O129" s="1363">
        <v>72.22</v>
      </c>
      <c r="P129" s="1362"/>
      <c r="Q129" s="1347">
        <v>0</v>
      </c>
      <c r="R129" s="1336"/>
      <c r="S129" s="1336"/>
      <c r="T129" s="1336"/>
      <c r="U129" s="1336"/>
      <c r="V129" s="1336"/>
      <c r="W129" s="1336"/>
      <c r="X129" s="1336"/>
      <c r="Y129" s="1336"/>
      <c r="Z129" s="1336"/>
      <c r="AA129" s="1336"/>
      <c r="AB129" s="1336"/>
      <c r="AC129" s="1336"/>
      <c r="AD129" s="1336"/>
      <c r="AE129" s="1336"/>
      <c r="AF129" s="1336"/>
      <c r="AG129" s="1336"/>
      <c r="AH129" s="1336"/>
      <c r="AI129" s="1336"/>
      <c r="AJ129" s="1336"/>
      <c r="AK129" s="1336"/>
      <c r="AL129" s="1336"/>
      <c r="AM129" s="1336"/>
      <c r="AN129" s="1336"/>
      <c r="AO129" s="1336"/>
      <c r="AP129" s="1336"/>
      <c r="AQ129" s="1336"/>
      <c r="AR129" s="1336"/>
      <c r="AS129" s="680"/>
      <c r="AT129" s="680"/>
      <c r="AU129" s="680"/>
      <c r="AV129" s="680"/>
      <c r="AW129" s="680"/>
      <c r="AX129" s="680"/>
      <c r="AY129" s="680"/>
      <c r="AZ129" s="680"/>
      <c r="BA129" s="680"/>
      <c r="BB129" s="680"/>
      <c r="BC129" s="680"/>
      <c r="BD129" s="680"/>
      <c r="BE129" s="680"/>
      <c r="BF129" s="680"/>
      <c r="BG129" s="680"/>
      <c r="BH129" s="680"/>
      <c r="BI129" s="680"/>
      <c r="BJ129" s="680"/>
      <c r="BK129" s="680"/>
      <c r="BL129" s="680"/>
      <c r="BM129" s="680"/>
      <c r="BN129" s="680"/>
      <c r="BO129" s="680"/>
      <c r="BP129" s="680"/>
      <c r="BQ129" s="680"/>
      <c r="BR129" s="680"/>
      <c r="BS129" s="680"/>
      <c r="BT129" s="680"/>
      <c r="BU129" s="680"/>
      <c r="BV129" s="680"/>
      <c r="BW129" s="680"/>
      <c r="BX129" s="680"/>
      <c r="BY129" s="680"/>
      <c r="BZ129" s="680"/>
      <c r="CA129" s="680"/>
      <c r="CB129" s="680"/>
      <c r="CC129" s="680"/>
      <c r="CD129" s="680"/>
      <c r="CE129" s="680"/>
      <c r="CF129" s="680"/>
      <c r="CG129" s="680"/>
      <c r="CH129" s="680"/>
      <c r="CI129" s="680"/>
      <c r="CJ129" s="680"/>
      <c r="CK129" s="680"/>
      <c r="CL129" s="680"/>
      <c r="CM129" s="680"/>
      <c r="CN129" s="680"/>
      <c r="CO129" s="680"/>
      <c r="CP129" s="680"/>
      <c r="CQ129" s="680"/>
      <c r="CR129" s="680"/>
      <c r="CS129" s="680"/>
      <c r="CT129" s="680"/>
      <c r="CU129" s="680"/>
      <c r="CV129" s="680"/>
      <c r="CW129" s="680"/>
      <c r="CX129" s="680"/>
      <c r="CY129" s="680"/>
      <c r="CZ129" s="680"/>
      <c r="DA129" s="680"/>
      <c r="DB129" s="680"/>
      <c r="DC129" s="680"/>
      <c r="DD129" s="680"/>
      <c r="DE129" s="680"/>
      <c r="DF129" s="680"/>
      <c r="DG129" s="680"/>
      <c r="DH129" s="680"/>
      <c r="DI129" s="680"/>
      <c r="DJ129" s="680"/>
      <c r="DK129" s="680"/>
      <c r="DL129" s="680"/>
      <c r="DM129" s="680"/>
      <c r="DN129" s="680"/>
      <c r="DO129" s="680"/>
      <c r="DP129" s="680"/>
      <c r="DQ129" s="680"/>
      <c r="DR129" s="680"/>
      <c r="DS129" s="680"/>
      <c r="DT129" s="680"/>
      <c r="DU129" s="680"/>
    </row>
    <row r="130" spans="1:125" s="595" customFormat="1" ht="15">
      <c r="A130" s="1349" t="s">
        <v>2421</v>
      </c>
      <c r="B130" s="1412" t="s">
        <v>2422</v>
      </c>
      <c r="C130" s="1325" t="s">
        <v>2423</v>
      </c>
      <c r="D130" s="1346" t="s">
        <v>236</v>
      </c>
      <c r="E130" s="1365"/>
      <c r="F130" s="1365"/>
      <c r="G130" s="1365"/>
      <c r="H130" s="1399">
        <v>1.2</v>
      </c>
      <c r="I130" s="1399">
        <v>0.3</v>
      </c>
      <c r="J130" s="1399"/>
      <c r="K130" s="1399">
        <v>5</v>
      </c>
      <c r="L130" s="1399"/>
      <c r="M130" s="1399">
        <v>190</v>
      </c>
      <c r="N130" s="1399"/>
      <c r="O130" s="1363">
        <v>196.5</v>
      </c>
      <c r="P130" s="1362"/>
      <c r="Q130" s="1347">
        <v>0</v>
      </c>
      <c r="R130" s="1336"/>
      <c r="S130" s="1336"/>
      <c r="T130" s="1336"/>
      <c r="U130" s="1336"/>
      <c r="V130" s="1336"/>
      <c r="W130" s="1336"/>
      <c r="X130" s="1336"/>
      <c r="Y130" s="1336"/>
      <c r="Z130" s="1336"/>
      <c r="AA130" s="1336"/>
      <c r="AB130" s="1336"/>
      <c r="AC130" s="1336"/>
      <c r="AD130" s="1336"/>
      <c r="AE130" s="1336"/>
      <c r="AF130" s="1336"/>
      <c r="AG130" s="1336"/>
      <c r="AH130" s="1336"/>
      <c r="AI130" s="1336"/>
      <c r="AJ130" s="1336"/>
      <c r="AK130" s="1336"/>
      <c r="AL130" s="1336"/>
      <c r="AM130" s="1336"/>
      <c r="AN130" s="1336"/>
      <c r="AO130" s="1336"/>
      <c r="AP130" s="1336"/>
      <c r="AQ130" s="1336"/>
      <c r="AR130" s="1336"/>
      <c r="AS130" s="680"/>
      <c r="AT130" s="680"/>
      <c r="AU130" s="680"/>
      <c r="AV130" s="680"/>
      <c r="AW130" s="680"/>
      <c r="AX130" s="680"/>
      <c r="AY130" s="680"/>
      <c r="AZ130" s="680"/>
      <c r="BA130" s="680"/>
      <c r="BB130" s="680"/>
      <c r="BC130" s="680"/>
      <c r="BD130" s="680"/>
      <c r="BE130" s="680"/>
      <c r="BF130" s="680"/>
      <c r="BG130" s="680"/>
      <c r="BH130" s="680"/>
      <c r="BI130" s="680"/>
      <c r="BJ130" s="680"/>
      <c r="BK130" s="680"/>
      <c r="BL130" s="680"/>
      <c r="BM130" s="680"/>
      <c r="BN130" s="680"/>
      <c r="BO130" s="680"/>
      <c r="BP130" s="680"/>
      <c r="BQ130" s="680"/>
      <c r="BR130" s="680"/>
      <c r="BS130" s="680"/>
      <c r="BT130" s="680"/>
      <c r="BU130" s="680"/>
      <c r="BV130" s="680"/>
      <c r="BW130" s="680"/>
      <c r="BX130" s="680"/>
      <c r="BY130" s="680"/>
      <c r="BZ130" s="680"/>
      <c r="CA130" s="680"/>
      <c r="CB130" s="680"/>
      <c r="CC130" s="680"/>
      <c r="CD130" s="680"/>
      <c r="CE130" s="680"/>
      <c r="CF130" s="680"/>
      <c r="CG130" s="680"/>
      <c r="CH130" s="680"/>
      <c r="CI130" s="680"/>
      <c r="CJ130" s="680"/>
      <c r="CK130" s="680"/>
      <c r="CL130" s="680"/>
      <c r="CM130" s="680"/>
      <c r="CN130" s="680"/>
      <c r="CO130" s="680"/>
      <c r="CP130" s="680"/>
      <c r="CQ130" s="680"/>
      <c r="CR130" s="680"/>
      <c r="CS130" s="680"/>
      <c r="CT130" s="680"/>
      <c r="CU130" s="680"/>
      <c r="CV130" s="680"/>
      <c r="CW130" s="680"/>
      <c r="CX130" s="680"/>
      <c r="CY130" s="680"/>
      <c r="CZ130" s="680"/>
      <c r="DA130" s="680"/>
      <c r="DB130" s="680"/>
      <c r="DC130" s="680"/>
      <c r="DD130" s="680"/>
      <c r="DE130" s="680"/>
      <c r="DF130" s="680"/>
      <c r="DG130" s="680"/>
      <c r="DH130" s="680"/>
      <c r="DI130" s="680"/>
      <c r="DJ130" s="680"/>
      <c r="DK130" s="680"/>
      <c r="DL130" s="680"/>
      <c r="DM130" s="680"/>
      <c r="DN130" s="680"/>
      <c r="DO130" s="680"/>
      <c r="DP130" s="680"/>
      <c r="DQ130" s="680"/>
      <c r="DR130" s="680"/>
      <c r="DS130" s="680"/>
      <c r="DT130" s="680"/>
      <c r="DU130" s="680"/>
    </row>
    <row r="131" spans="1:125" s="595" customFormat="1" ht="15">
      <c r="A131" s="1349" t="s">
        <v>2424</v>
      </c>
      <c r="B131" s="1416" t="s">
        <v>571</v>
      </c>
      <c r="C131" s="1325"/>
      <c r="D131" s="1346"/>
      <c r="E131" s="1365"/>
      <c r="F131" s="1365"/>
      <c r="G131" s="1365"/>
      <c r="H131" s="1399"/>
      <c r="I131" s="1399"/>
      <c r="J131" s="1399"/>
      <c r="K131" s="1399"/>
      <c r="L131" s="1399"/>
      <c r="M131" s="1399"/>
      <c r="N131" s="1399"/>
      <c r="O131" s="1363"/>
      <c r="P131" s="1364"/>
      <c r="Q131" s="1347"/>
      <c r="R131" s="1336"/>
      <c r="S131" s="1336"/>
      <c r="T131" s="1336"/>
      <c r="U131" s="1336"/>
      <c r="V131" s="1336"/>
      <c r="W131" s="1336"/>
      <c r="X131" s="1336"/>
      <c r="Y131" s="1336"/>
      <c r="Z131" s="1336"/>
      <c r="AA131" s="1336"/>
      <c r="AB131" s="1336"/>
      <c r="AC131" s="1336"/>
      <c r="AD131" s="1336"/>
      <c r="AE131" s="1336"/>
      <c r="AF131" s="1336"/>
      <c r="AG131" s="1336"/>
      <c r="AH131" s="1336"/>
      <c r="AI131" s="1336"/>
      <c r="AJ131" s="1336"/>
      <c r="AK131" s="1336"/>
      <c r="AL131" s="1336"/>
      <c r="AM131" s="1336"/>
      <c r="AN131" s="1336"/>
      <c r="AO131" s="1336"/>
      <c r="AP131" s="1336"/>
      <c r="AQ131" s="1336"/>
      <c r="AR131" s="1336"/>
      <c r="AS131" s="680"/>
      <c r="AT131" s="680"/>
      <c r="AU131" s="680"/>
      <c r="AV131" s="680"/>
      <c r="AW131" s="680"/>
      <c r="AX131" s="680"/>
      <c r="AY131" s="680"/>
      <c r="AZ131" s="680"/>
      <c r="BA131" s="680"/>
      <c r="BB131" s="680"/>
      <c r="BC131" s="680"/>
      <c r="BD131" s="680"/>
      <c r="BE131" s="680"/>
      <c r="BF131" s="680"/>
      <c r="BG131" s="680"/>
      <c r="BH131" s="680"/>
      <c r="BI131" s="680"/>
      <c r="BJ131" s="680"/>
      <c r="BK131" s="680"/>
      <c r="BL131" s="680"/>
      <c r="BM131" s="680"/>
      <c r="BN131" s="680"/>
      <c r="BO131" s="680"/>
      <c r="BP131" s="680"/>
      <c r="BQ131" s="680"/>
      <c r="BR131" s="680"/>
      <c r="BS131" s="680"/>
      <c r="BT131" s="680"/>
      <c r="BU131" s="680"/>
      <c r="BV131" s="680"/>
      <c r="BW131" s="680"/>
      <c r="BX131" s="680"/>
      <c r="BY131" s="680"/>
      <c r="BZ131" s="680"/>
      <c r="CA131" s="680"/>
      <c r="CB131" s="680"/>
      <c r="CC131" s="680"/>
      <c r="CD131" s="680"/>
      <c r="CE131" s="680"/>
      <c r="CF131" s="680"/>
      <c r="CG131" s="680"/>
      <c r="CH131" s="680"/>
      <c r="CI131" s="680"/>
      <c r="CJ131" s="680"/>
      <c r="CK131" s="680"/>
      <c r="CL131" s="680"/>
      <c r="CM131" s="680"/>
      <c r="CN131" s="680"/>
      <c r="CO131" s="680"/>
      <c r="CP131" s="680"/>
      <c r="CQ131" s="680"/>
      <c r="CR131" s="680"/>
      <c r="CS131" s="680"/>
      <c r="CT131" s="680"/>
      <c r="CU131" s="680"/>
      <c r="CV131" s="680"/>
      <c r="CW131" s="680"/>
      <c r="CX131" s="680"/>
      <c r="CY131" s="680"/>
      <c r="CZ131" s="680"/>
      <c r="DA131" s="680"/>
      <c r="DB131" s="680"/>
      <c r="DC131" s="680"/>
      <c r="DD131" s="680"/>
      <c r="DE131" s="680"/>
      <c r="DF131" s="680"/>
      <c r="DG131" s="680"/>
      <c r="DH131" s="680"/>
      <c r="DI131" s="680"/>
      <c r="DJ131" s="680"/>
      <c r="DK131" s="680"/>
      <c r="DL131" s="680"/>
      <c r="DM131" s="680"/>
      <c r="DN131" s="680"/>
      <c r="DO131" s="680"/>
      <c r="DP131" s="680"/>
      <c r="DQ131" s="680"/>
      <c r="DR131" s="680"/>
      <c r="DS131" s="680"/>
      <c r="DT131" s="680"/>
      <c r="DU131" s="680"/>
    </row>
    <row r="132" spans="1:125" s="595" customFormat="1" ht="15">
      <c r="A132" s="1348" t="s">
        <v>2425</v>
      </c>
      <c r="B132" s="1344" t="s">
        <v>2498</v>
      </c>
      <c r="C132" s="1327" t="s">
        <v>2499</v>
      </c>
      <c r="D132" s="1353" t="s">
        <v>236</v>
      </c>
      <c r="E132" s="1365">
        <v>12.5</v>
      </c>
      <c r="F132" s="1365">
        <v>148</v>
      </c>
      <c r="G132" s="1365">
        <v>64.5</v>
      </c>
      <c r="H132" s="1399">
        <v>45.919999999999995</v>
      </c>
      <c r="I132" s="1399">
        <v>10.91</v>
      </c>
      <c r="J132" s="1399">
        <v>31.46</v>
      </c>
      <c r="K132" s="1399">
        <v>188</v>
      </c>
      <c r="L132" s="1399"/>
      <c r="M132" s="1399">
        <v>110.33000000000001</v>
      </c>
      <c r="N132" s="1399"/>
      <c r="O132" s="1363">
        <v>611.62</v>
      </c>
      <c r="P132" s="1362"/>
      <c r="Q132" s="1347">
        <v>0</v>
      </c>
      <c r="R132" s="1336"/>
      <c r="S132" s="1336"/>
      <c r="T132" s="1336"/>
      <c r="U132" s="1336"/>
      <c r="V132" s="1336"/>
      <c r="W132" s="1336"/>
      <c r="X132" s="1336"/>
      <c r="Y132" s="1336"/>
      <c r="Z132" s="1336"/>
      <c r="AA132" s="1336"/>
      <c r="AB132" s="1336"/>
      <c r="AC132" s="1336"/>
      <c r="AD132" s="1336"/>
      <c r="AE132" s="1336"/>
      <c r="AF132" s="1336"/>
      <c r="AG132" s="1336"/>
      <c r="AH132" s="1336"/>
      <c r="AI132" s="1336"/>
      <c r="AJ132" s="1336"/>
      <c r="AK132" s="1336"/>
      <c r="AL132" s="1336"/>
      <c r="AM132" s="1336"/>
      <c r="AN132" s="1336"/>
      <c r="AO132" s="1336"/>
      <c r="AP132" s="1336"/>
      <c r="AQ132" s="1336"/>
      <c r="AR132" s="1336"/>
      <c r="AS132" s="680"/>
      <c r="AT132" s="680"/>
      <c r="AU132" s="680"/>
      <c r="AV132" s="680"/>
      <c r="AW132" s="680"/>
      <c r="AX132" s="680"/>
      <c r="AY132" s="680"/>
      <c r="AZ132" s="680"/>
      <c r="BA132" s="680"/>
      <c r="BB132" s="680"/>
      <c r="BC132" s="680"/>
      <c r="BD132" s="680"/>
      <c r="BE132" s="680"/>
      <c r="BF132" s="680"/>
      <c r="BG132" s="680"/>
      <c r="BH132" s="680"/>
      <c r="BI132" s="680"/>
      <c r="BJ132" s="680"/>
      <c r="BK132" s="680"/>
      <c r="BL132" s="680"/>
      <c r="BM132" s="680"/>
      <c r="BN132" s="680"/>
      <c r="BO132" s="680"/>
      <c r="BP132" s="680"/>
      <c r="BQ132" s="680"/>
      <c r="BR132" s="680"/>
      <c r="BS132" s="680"/>
      <c r="BT132" s="680"/>
      <c r="BU132" s="680"/>
      <c r="BV132" s="680"/>
      <c r="BW132" s="680"/>
      <c r="BX132" s="680"/>
      <c r="BY132" s="680"/>
      <c r="BZ132" s="680"/>
      <c r="CA132" s="680"/>
      <c r="CB132" s="680"/>
      <c r="CC132" s="680"/>
      <c r="CD132" s="680"/>
      <c r="CE132" s="680"/>
      <c r="CF132" s="680"/>
      <c r="CG132" s="680"/>
      <c r="CH132" s="680"/>
      <c r="CI132" s="680"/>
      <c r="CJ132" s="680"/>
      <c r="CK132" s="680"/>
      <c r="CL132" s="680"/>
      <c r="CM132" s="680"/>
      <c r="CN132" s="680"/>
      <c r="CO132" s="680"/>
      <c r="CP132" s="680"/>
      <c r="CQ132" s="680"/>
      <c r="CR132" s="680"/>
      <c r="CS132" s="680"/>
      <c r="CT132" s="680"/>
      <c r="CU132" s="680"/>
      <c r="CV132" s="680"/>
      <c r="CW132" s="680"/>
      <c r="CX132" s="680"/>
      <c r="CY132" s="680"/>
      <c r="CZ132" s="680"/>
      <c r="DA132" s="680"/>
      <c r="DB132" s="680"/>
      <c r="DC132" s="680"/>
      <c r="DD132" s="680"/>
      <c r="DE132" s="680"/>
      <c r="DF132" s="680"/>
      <c r="DG132" s="680"/>
      <c r="DH132" s="680"/>
      <c r="DI132" s="680"/>
      <c r="DJ132" s="680"/>
      <c r="DK132" s="680"/>
      <c r="DL132" s="680"/>
      <c r="DM132" s="680"/>
      <c r="DN132" s="680"/>
      <c r="DO132" s="680"/>
      <c r="DP132" s="680"/>
      <c r="DQ132" s="680"/>
      <c r="DR132" s="680"/>
      <c r="DS132" s="680"/>
      <c r="DT132" s="680"/>
      <c r="DU132" s="680"/>
    </row>
    <row r="133" spans="1:125" s="821" customFormat="1" ht="15">
      <c r="A133" s="1348" t="s">
        <v>2426</v>
      </c>
      <c r="B133" s="1344" t="s">
        <v>572</v>
      </c>
      <c r="C133" s="1327" t="s">
        <v>558</v>
      </c>
      <c r="D133" s="1353" t="s">
        <v>236</v>
      </c>
      <c r="E133" s="1365">
        <v>1</v>
      </c>
      <c r="F133" s="1365">
        <v>13</v>
      </c>
      <c r="G133" s="1365">
        <v>5</v>
      </c>
      <c r="H133" s="1399">
        <v>2.8</v>
      </c>
      <c r="I133" s="1399">
        <v>0.8</v>
      </c>
      <c r="J133" s="1399">
        <v>4</v>
      </c>
      <c r="K133" s="1399">
        <v>3</v>
      </c>
      <c r="L133" s="1399"/>
      <c r="M133" s="1399">
        <v>8.8000000000000007</v>
      </c>
      <c r="N133" s="1399"/>
      <c r="O133" s="1363">
        <v>38.400000000000006</v>
      </c>
      <c r="P133" s="1362"/>
      <c r="Q133" s="1347">
        <v>0</v>
      </c>
      <c r="R133" s="1336"/>
      <c r="S133" s="1336"/>
      <c r="T133" s="1336"/>
      <c r="U133" s="1336"/>
      <c r="V133" s="1336"/>
      <c r="W133" s="1336"/>
      <c r="X133" s="1336"/>
      <c r="Y133" s="1336"/>
      <c r="Z133" s="1336"/>
      <c r="AA133" s="1336"/>
      <c r="AB133" s="1336"/>
      <c r="AC133" s="1336"/>
      <c r="AD133" s="1336"/>
      <c r="AE133" s="1336"/>
      <c r="AF133" s="1336"/>
      <c r="AG133" s="1336"/>
      <c r="AH133" s="1336"/>
      <c r="AI133" s="1336"/>
      <c r="AJ133" s="1336"/>
      <c r="AK133" s="1336"/>
      <c r="AL133" s="1336"/>
      <c r="AM133" s="1336"/>
      <c r="AN133" s="1336"/>
      <c r="AO133" s="1336"/>
      <c r="AP133" s="1336"/>
      <c r="AQ133" s="1336"/>
      <c r="AR133" s="1336"/>
      <c r="AS133" s="680"/>
      <c r="AT133" s="680"/>
      <c r="AU133" s="680"/>
      <c r="AV133" s="680"/>
      <c r="AW133" s="680"/>
      <c r="AX133" s="680"/>
      <c r="AY133" s="680"/>
      <c r="AZ133" s="680"/>
      <c r="BA133" s="680"/>
      <c r="BB133" s="680"/>
      <c r="BC133" s="680"/>
      <c r="BD133" s="680"/>
      <c r="BE133" s="680"/>
      <c r="BF133" s="680"/>
      <c r="BG133" s="680"/>
      <c r="BH133" s="680"/>
      <c r="BI133" s="680"/>
      <c r="BJ133" s="680"/>
      <c r="BK133" s="680"/>
      <c r="BL133" s="680"/>
      <c r="BM133" s="680"/>
      <c r="BN133" s="680"/>
      <c r="BO133" s="680"/>
      <c r="BP133" s="680"/>
      <c r="BQ133" s="680"/>
      <c r="BR133" s="680"/>
      <c r="BS133" s="680"/>
      <c r="BT133" s="680"/>
      <c r="BU133" s="680"/>
      <c r="BV133" s="680"/>
      <c r="BW133" s="680"/>
      <c r="BX133" s="680"/>
      <c r="BY133" s="680"/>
      <c r="BZ133" s="680"/>
      <c r="CA133" s="680"/>
      <c r="CB133" s="680"/>
      <c r="CC133" s="680"/>
      <c r="CD133" s="680"/>
      <c r="CE133" s="680"/>
      <c r="CF133" s="680"/>
      <c r="CG133" s="680"/>
      <c r="CH133" s="680"/>
      <c r="CI133" s="680"/>
      <c r="CJ133" s="680"/>
      <c r="CK133" s="680"/>
      <c r="CL133" s="680"/>
      <c r="CM133" s="680"/>
      <c r="CN133" s="680"/>
      <c r="CO133" s="680"/>
      <c r="CP133" s="680"/>
      <c r="CQ133" s="680"/>
      <c r="CR133" s="680"/>
      <c r="CS133" s="680"/>
      <c r="CT133" s="680"/>
      <c r="CU133" s="680"/>
      <c r="CV133" s="680"/>
      <c r="CW133" s="680"/>
      <c r="CX133" s="680"/>
      <c r="CY133" s="680"/>
      <c r="CZ133" s="680"/>
      <c r="DA133" s="680"/>
      <c r="DB133" s="680"/>
      <c r="DC133" s="680"/>
      <c r="DD133" s="680"/>
      <c r="DE133" s="680"/>
      <c r="DF133" s="680"/>
      <c r="DG133" s="680"/>
      <c r="DH133" s="680"/>
      <c r="DI133" s="680"/>
      <c r="DJ133" s="680"/>
      <c r="DK133" s="680"/>
      <c r="DL133" s="680"/>
      <c r="DM133" s="680"/>
      <c r="DN133" s="680"/>
      <c r="DO133" s="680"/>
      <c r="DP133" s="680"/>
      <c r="DQ133" s="680"/>
      <c r="DR133" s="680"/>
      <c r="DS133" s="680"/>
      <c r="DT133" s="680"/>
      <c r="DU133" s="680"/>
    </row>
    <row r="134" spans="1:125" s="595" customFormat="1">
      <c r="A134" s="714" t="s">
        <v>1348</v>
      </c>
      <c r="B134" s="747" t="s">
        <v>579</v>
      </c>
      <c r="C134" s="1327" t="s">
        <v>968</v>
      </c>
      <c r="D134" s="737" t="s">
        <v>234</v>
      </c>
      <c r="E134" s="975"/>
      <c r="F134" s="972"/>
      <c r="G134" s="782"/>
      <c r="H134" s="968"/>
      <c r="I134" s="968"/>
      <c r="J134" s="968">
        <v>150</v>
      </c>
      <c r="K134" s="968"/>
      <c r="L134" s="968"/>
      <c r="M134" s="968">
        <v>366</v>
      </c>
      <c r="N134" s="774">
        <f>SUM(E134:M134)</f>
        <v>516</v>
      </c>
      <c r="O134" s="771"/>
      <c r="P134" s="711">
        <f t="shared" ref="P134:P152" si="16">N134*O134</f>
        <v>0</v>
      </c>
      <c r="Q134" s="685"/>
      <c r="R134" s="680"/>
      <c r="S134" s="680"/>
      <c r="T134" s="680"/>
      <c r="U134" s="680"/>
      <c r="V134" s="680"/>
      <c r="W134" s="680"/>
      <c r="X134" s="680"/>
      <c r="Y134" s="680"/>
      <c r="Z134" s="680"/>
      <c r="AA134" s="680"/>
      <c r="AB134" s="680"/>
      <c r="AC134" s="680"/>
      <c r="AD134" s="680"/>
      <c r="AE134" s="680"/>
      <c r="AF134" s="680"/>
      <c r="AG134" s="680"/>
      <c r="AH134" s="680"/>
      <c r="AI134" s="680"/>
      <c r="AJ134" s="680"/>
      <c r="AK134" s="680"/>
      <c r="AL134" s="680"/>
      <c r="AM134" s="680"/>
      <c r="AN134" s="680"/>
      <c r="AO134" s="680"/>
      <c r="AP134" s="680"/>
      <c r="AQ134" s="680"/>
      <c r="AR134" s="680"/>
      <c r="AS134" s="680"/>
      <c r="AT134" s="680"/>
      <c r="AU134" s="680"/>
      <c r="AV134" s="680"/>
      <c r="AW134" s="680"/>
      <c r="AX134" s="680"/>
      <c r="AY134" s="680"/>
      <c r="AZ134" s="680"/>
      <c r="BA134" s="680"/>
      <c r="BB134" s="680"/>
      <c r="BC134" s="680"/>
      <c r="BD134" s="680"/>
      <c r="BE134" s="680"/>
      <c r="BF134" s="680"/>
      <c r="BG134" s="680"/>
      <c r="BH134" s="680"/>
      <c r="BI134" s="680"/>
      <c r="BJ134" s="680"/>
      <c r="BK134" s="680"/>
      <c r="BL134" s="680"/>
      <c r="BM134" s="680"/>
      <c r="BN134" s="680"/>
      <c r="BO134" s="680"/>
      <c r="BP134" s="680"/>
      <c r="BQ134" s="680"/>
      <c r="BR134" s="680"/>
      <c r="BS134" s="680"/>
      <c r="BT134" s="680"/>
      <c r="BU134" s="680"/>
      <c r="BV134" s="680"/>
      <c r="BW134" s="680"/>
      <c r="BX134" s="680"/>
      <c r="BY134" s="680"/>
      <c r="BZ134" s="680"/>
      <c r="CA134" s="680"/>
      <c r="CB134" s="680"/>
      <c r="CC134" s="680"/>
      <c r="CD134" s="680"/>
      <c r="CE134" s="680"/>
      <c r="CF134" s="680"/>
      <c r="CG134" s="680"/>
      <c r="CH134" s="680"/>
      <c r="CI134" s="680"/>
      <c r="CJ134" s="680"/>
      <c r="CK134" s="680"/>
      <c r="CL134" s="680"/>
      <c r="CM134" s="680"/>
      <c r="CN134" s="680"/>
      <c r="CO134" s="680"/>
      <c r="CP134" s="680"/>
      <c r="CQ134" s="680"/>
      <c r="CR134" s="680"/>
      <c r="CS134" s="680"/>
      <c r="CT134" s="680"/>
      <c r="CU134" s="680"/>
      <c r="CV134" s="680"/>
      <c r="CW134" s="680"/>
      <c r="CX134" s="680"/>
      <c r="CY134" s="680"/>
      <c r="CZ134" s="680"/>
      <c r="DA134" s="680"/>
      <c r="DB134" s="680"/>
      <c r="DC134" s="680"/>
      <c r="DD134" s="680"/>
      <c r="DE134" s="680"/>
      <c r="DF134" s="680"/>
      <c r="DG134" s="680"/>
      <c r="DH134" s="680"/>
      <c r="DI134" s="680"/>
      <c r="DJ134" s="680"/>
      <c r="DK134" s="680"/>
      <c r="DL134" s="680"/>
      <c r="DM134" s="680"/>
      <c r="DN134" s="680"/>
      <c r="DO134" s="680"/>
      <c r="DP134" s="680"/>
      <c r="DQ134" s="680"/>
      <c r="DR134" s="680"/>
      <c r="DS134" s="680"/>
      <c r="DT134" s="680"/>
      <c r="DU134" s="680"/>
    </row>
    <row r="135" spans="1:125" s="595" customFormat="1">
      <c r="A135" s="714" t="s">
        <v>865</v>
      </c>
      <c r="B135" s="747" t="s">
        <v>557</v>
      </c>
      <c r="C135" s="1327" t="s">
        <v>968</v>
      </c>
      <c r="D135" s="737" t="s">
        <v>234</v>
      </c>
      <c r="E135" s="975">
        <v>615</v>
      </c>
      <c r="F135" s="972">
        <v>500</v>
      </c>
      <c r="G135" s="782">
        <v>800</v>
      </c>
      <c r="H135" s="968"/>
      <c r="I135" s="968"/>
      <c r="J135" s="968"/>
      <c r="K135" s="968"/>
      <c r="L135" s="968"/>
      <c r="M135" s="968"/>
      <c r="N135" s="774">
        <f>SUM(E135:M135)</f>
        <v>1915</v>
      </c>
      <c r="O135" s="771"/>
      <c r="P135" s="711">
        <f t="shared" si="16"/>
        <v>0</v>
      </c>
      <c r="Q135" s="685"/>
      <c r="R135" s="680"/>
      <c r="S135" s="680"/>
      <c r="T135" s="680"/>
      <c r="U135" s="680"/>
      <c r="V135" s="680"/>
      <c r="W135" s="680"/>
      <c r="X135" s="680"/>
      <c r="Y135" s="680"/>
      <c r="Z135" s="680"/>
      <c r="AA135" s="680"/>
      <c r="AB135" s="680"/>
      <c r="AC135" s="680"/>
      <c r="AD135" s="680"/>
      <c r="AE135" s="680"/>
      <c r="AF135" s="680"/>
      <c r="AG135" s="680"/>
      <c r="AH135" s="680"/>
      <c r="AI135" s="680"/>
      <c r="AJ135" s="680"/>
      <c r="AK135" s="680"/>
      <c r="AL135" s="680"/>
      <c r="AM135" s="680"/>
      <c r="AN135" s="680"/>
      <c r="AO135" s="680"/>
      <c r="AP135" s="680"/>
      <c r="AQ135" s="680"/>
      <c r="AR135" s="680"/>
      <c r="AS135" s="680"/>
      <c r="AT135" s="680"/>
      <c r="AU135" s="680"/>
      <c r="AV135" s="680"/>
      <c r="AW135" s="680"/>
      <c r="AX135" s="680"/>
      <c r="AY135" s="680"/>
      <c r="AZ135" s="680"/>
      <c r="BA135" s="680"/>
      <c r="BB135" s="680"/>
      <c r="BC135" s="680"/>
      <c r="BD135" s="680"/>
      <c r="BE135" s="680"/>
      <c r="BF135" s="680"/>
      <c r="BG135" s="680"/>
      <c r="BH135" s="680"/>
      <c r="BI135" s="680"/>
      <c r="BJ135" s="680"/>
      <c r="BK135" s="680"/>
      <c r="BL135" s="680"/>
      <c r="BM135" s="680"/>
      <c r="BN135" s="680"/>
      <c r="BO135" s="680"/>
      <c r="BP135" s="680"/>
      <c r="BQ135" s="680"/>
      <c r="BR135" s="680"/>
      <c r="BS135" s="680"/>
      <c r="BT135" s="680"/>
      <c r="BU135" s="680"/>
      <c r="BV135" s="680"/>
      <c r="BW135" s="680"/>
      <c r="BX135" s="680"/>
      <c r="BY135" s="680"/>
      <c r="BZ135" s="680"/>
      <c r="CA135" s="680"/>
      <c r="CB135" s="680"/>
      <c r="CC135" s="680"/>
      <c r="CD135" s="680"/>
      <c r="CE135" s="680"/>
      <c r="CF135" s="680"/>
      <c r="CG135" s="680"/>
      <c r="CH135" s="680"/>
      <c r="CI135" s="680"/>
      <c r="CJ135" s="680"/>
      <c r="CK135" s="680"/>
      <c r="CL135" s="680"/>
      <c r="CM135" s="680"/>
      <c r="CN135" s="680"/>
      <c r="CO135" s="680"/>
      <c r="CP135" s="680"/>
      <c r="CQ135" s="680"/>
      <c r="CR135" s="680"/>
      <c r="CS135" s="680"/>
      <c r="CT135" s="680"/>
      <c r="CU135" s="680"/>
      <c r="CV135" s="680"/>
      <c r="CW135" s="680"/>
      <c r="CX135" s="680"/>
      <c r="CY135" s="680"/>
      <c r="CZ135" s="680"/>
      <c r="DA135" s="680"/>
      <c r="DB135" s="680"/>
      <c r="DC135" s="680"/>
      <c r="DD135" s="680"/>
      <c r="DE135" s="680"/>
      <c r="DF135" s="680"/>
      <c r="DG135" s="680"/>
      <c r="DH135" s="680"/>
      <c r="DI135" s="680"/>
      <c r="DJ135" s="680"/>
      <c r="DK135" s="680"/>
      <c r="DL135" s="680"/>
      <c r="DM135" s="680"/>
      <c r="DN135" s="680"/>
      <c r="DO135" s="680"/>
      <c r="DP135" s="680"/>
      <c r="DQ135" s="680"/>
      <c r="DR135" s="680"/>
      <c r="DS135" s="680"/>
      <c r="DT135" s="680"/>
      <c r="DU135" s="680"/>
    </row>
    <row r="136" spans="1:125" s="595" customFormat="1">
      <c r="A136" s="716" t="s">
        <v>866</v>
      </c>
      <c r="B136" s="1034" t="s">
        <v>621</v>
      </c>
      <c r="C136" s="1325" t="s">
        <v>432</v>
      </c>
      <c r="D136" s="702" t="s">
        <v>236</v>
      </c>
      <c r="E136" s="975">
        <v>362</v>
      </c>
      <c r="F136" s="972">
        <v>591</v>
      </c>
      <c r="G136" s="782">
        <v>283</v>
      </c>
      <c r="H136" s="968">
        <f>163.03+334.51</f>
        <v>497.53999999999996</v>
      </c>
      <c r="I136" s="968">
        <v>164</v>
      </c>
      <c r="J136" s="968">
        <f>610+13.1</f>
        <v>623.1</v>
      </c>
      <c r="K136" s="968">
        <v>2187</v>
      </c>
      <c r="L136" s="968">
        <v>1026</v>
      </c>
      <c r="M136" s="968">
        <f>3338.74+441.47</f>
        <v>3780.21</v>
      </c>
      <c r="N136" s="774">
        <f>SUM(E136:M136)</f>
        <v>9513.8499999999985</v>
      </c>
      <c r="O136" s="771"/>
      <c r="P136" s="711">
        <f t="shared" si="16"/>
        <v>0</v>
      </c>
      <c r="Q136" s="685"/>
      <c r="R136" s="680"/>
      <c r="S136" s="680"/>
      <c r="T136" s="680"/>
      <c r="U136" s="680"/>
      <c r="V136" s="680"/>
      <c r="W136" s="680"/>
      <c r="X136" s="680"/>
      <c r="Y136" s="680"/>
      <c r="Z136" s="680"/>
      <c r="AA136" s="680"/>
      <c r="AB136" s="680"/>
      <c r="AC136" s="680"/>
      <c r="AD136" s="680"/>
      <c r="AE136" s="680"/>
      <c r="AF136" s="680"/>
      <c r="AG136" s="680"/>
      <c r="AH136" s="680"/>
      <c r="AI136" s="680"/>
      <c r="AJ136" s="680"/>
      <c r="AK136" s="680"/>
      <c r="AL136" s="680"/>
      <c r="AM136" s="680"/>
      <c r="AN136" s="680"/>
      <c r="AO136" s="680"/>
      <c r="AP136" s="680"/>
      <c r="AQ136" s="680"/>
      <c r="AR136" s="680"/>
      <c r="AS136" s="680"/>
      <c r="AT136" s="680"/>
      <c r="AU136" s="680"/>
      <c r="AV136" s="680"/>
      <c r="AW136" s="680"/>
      <c r="AX136" s="680"/>
      <c r="AY136" s="680"/>
      <c r="AZ136" s="680"/>
      <c r="BA136" s="680"/>
      <c r="BB136" s="680"/>
      <c r="BC136" s="680"/>
      <c r="BD136" s="680"/>
      <c r="BE136" s="680"/>
      <c r="BF136" s="680"/>
      <c r="BG136" s="680"/>
      <c r="BH136" s="680"/>
      <c r="BI136" s="680"/>
      <c r="BJ136" s="680"/>
      <c r="BK136" s="680"/>
      <c r="BL136" s="680"/>
      <c r="BM136" s="680"/>
      <c r="BN136" s="680"/>
      <c r="BO136" s="680"/>
      <c r="BP136" s="680"/>
      <c r="BQ136" s="680"/>
      <c r="BR136" s="680"/>
      <c r="BS136" s="680"/>
      <c r="BT136" s="680"/>
      <c r="BU136" s="680"/>
      <c r="BV136" s="680"/>
      <c r="BW136" s="680"/>
      <c r="BX136" s="680"/>
      <c r="BY136" s="680"/>
      <c r="BZ136" s="680"/>
      <c r="CA136" s="680"/>
      <c r="CB136" s="680"/>
      <c r="CC136" s="680"/>
      <c r="CD136" s="680"/>
      <c r="CE136" s="680"/>
      <c r="CF136" s="680"/>
      <c r="CG136" s="680"/>
      <c r="CH136" s="680"/>
      <c r="CI136" s="680"/>
      <c r="CJ136" s="680"/>
      <c r="CK136" s="680"/>
      <c r="CL136" s="680"/>
      <c r="CM136" s="680"/>
      <c r="CN136" s="680"/>
      <c r="CO136" s="680"/>
      <c r="CP136" s="680"/>
      <c r="CQ136" s="680"/>
      <c r="CR136" s="680"/>
      <c r="CS136" s="680"/>
      <c r="CT136" s="680"/>
      <c r="CU136" s="680"/>
      <c r="CV136" s="680"/>
      <c r="CW136" s="680"/>
      <c r="CX136" s="680"/>
      <c r="CY136" s="680"/>
      <c r="CZ136" s="680"/>
      <c r="DA136" s="680"/>
      <c r="DB136" s="680"/>
      <c r="DC136" s="680"/>
      <c r="DD136" s="680"/>
      <c r="DE136" s="680"/>
      <c r="DF136" s="680"/>
      <c r="DG136" s="680"/>
      <c r="DH136" s="680"/>
      <c r="DI136" s="680"/>
      <c r="DJ136" s="680"/>
      <c r="DK136" s="680"/>
      <c r="DL136" s="680"/>
      <c r="DM136" s="680"/>
      <c r="DN136" s="680"/>
      <c r="DO136" s="680"/>
      <c r="DP136" s="680"/>
      <c r="DQ136" s="680"/>
      <c r="DR136" s="680"/>
      <c r="DS136" s="680"/>
      <c r="DT136" s="680"/>
      <c r="DU136" s="680"/>
    </row>
    <row r="137" spans="1:125" s="595" customFormat="1">
      <c r="A137" s="716" t="s">
        <v>867</v>
      </c>
      <c r="B137" s="1034" t="s">
        <v>659</v>
      </c>
      <c r="C137" s="1325"/>
      <c r="D137" s="702"/>
      <c r="E137" s="975"/>
      <c r="F137" s="972"/>
      <c r="G137" s="782"/>
      <c r="H137" s="968"/>
      <c r="I137" s="968"/>
      <c r="J137" s="968"/>
      <c r="K137" s="968"/>
      <c r="L137" s="968"/>
      <c r="M137" s="968"/>
      <c r="N137" s="774"/>
      <c r="O137" s="775"/>
      <c r="P137" s="711"/>
      <c r="Q137" s="685"/>
      <c r="R137" s="680"/>
      <c r="S137" s="680"/>
      <c r="T137" s="680"/>
      <c r="U137" s="680"/>
      <c r="V137" s="680"/>
      <c r="W137" s="680"/>
      <c r="X137" s="680"/>
      <c r="Y137" s="680"/>
      <c r="Z137" s="680"/>
      <c r="AA137" s="680"/>
      <c r="AB137" s="680"/>
      <c r="AC137" s="680"/>
      <c r="AD137" s="680"/>
      <c r="AE137" s="680"/>
      <c r="AF137" s="680"/>
      <c r="AG137" s="680"/>
      <c r="AH137" s="680"/>
      <c r="AI137" s="680"/>
      <c r="AJ137" s="680"/>
      <c r="AK137" s="680"/>
      <c r="AL137" s="680"/>
      <c r="AM137" s="680"/>
      <c r="AN137" s="680"/>
      <c r="AO137" s="680"/>
      <c r="AP137" s="680"/>
      <c r="AQ137" s="680"/>
      <c r="AR137" s="680"/>
      <c r="AS137" s="680"/>
      <c r="AT137" s="680"/>
      <c r="AU137" s="680"/>
      <c r="AV137" s="680"/>
      <c r="AW137" s="680"/>
      <c r="AX137" s="680"/>
      <c r="AY137" s="680"/>
      <c r="AZ137" s="680"/>
      <c r="BA137" s="680"/>
      <c r="BB137" s="680"/>
      <c r="BC137" s="680"/>
      <c r="BD137" s="680"/>
      <c r="BE137" s="680"/>
      <c r="BF137" s="680"/>
      <c r="BG137" s="680"/>
      <c r="BH137" s="680"/>
      <c r="BI137" s="680"/>
      <c r="BJ137" s="680"/>
      <c r="BK137" s="680"/>
      <c r="BL137" s="680"/>
      <c r="BM137" s="680"/>
      <c r="BN137" s="680"/>
      <c r="BO137" s="680"/>
      <c r="BP137" s="680"/>
      <c r="BQ137" s="680"/>
      <c r="BR137" s="680"/>
      <c r="BS137" s="680"/>
      <c r="BT137" s="680"/>
      <c r="BU137" s="680"/>
      <c r="BV137" s="680"/>
      <c r="BW137" s="680"/>
      <c r="BX137" s="680"/>
      <c r="BY137" s="680"/>
      <c r="BZ137" s="680"/>
      <c r="CA137" s="680"/>
      <c r="CB137" s="680"/>
      <c r="CC137" s="680"/>
      <c r="CD137" s="680"/>
      <c r="CE137" s="680"/>
      <c r="CF137" s="680"/>
      <c r="CG137" s="680"/>
      <c r="CH137" s="680"/>
      <c r="CI137" s="680"/>
      <c r="CJ137" s="680"/>
      <c r="CK137" s="680"/>
      <c r="CL137" s="680"/>
      <c r="CM137" s="680"/>
      <c r="CN137" s="680"/>
      <c r="CO137" s="680"/>
      <c r="CP137" s="680"/>
      <c r="CQ137" s="680"/>
      <c r="CR137" s="680"/>
      <c r="CS137" s="680"/>
      <c r="CT137" s="680"/>
      <c r="CU137" s="680"/>
      <c r="CV137" s="680"/>
      <c r="CW137" s="680"/>
      <c r="CX137" s="680"/>
      <c r="CY137" s="680"/>
      <c r="CZ137" s="680"/>
      <c r="DA137" s="680"/>
      <c r="DB137" s="680"/>
      <c r="DC137" s="680"/>
      <c r="DD137" s="680"/>
      <c r="DE137" s="680"/>
      <c r="DF137" s="680"/>
      <c r="DG137" s="680"/>
      <c r="DH137" s="680"/>
      <c r="DI137" s="680"/>
      <c r="DJ137" s="680"/>
      <c r="DK137" s="680"/>
      <c r="DL137" s="680"/>
      <c r="DM137" s="680"/>
      <c r="DN137" s="680"/>
      <c r="DO137" s="680"/>
      <c r="DP137" s="680"/>
      <c r="DQ137" s="680"/>
      <c r="DR137" s="680"/>
      <c r="DS137" s="680"/>
      <c r="DT137" s="680"/>
      <c r="DU137" s="680"/>
    </row>
    <row r="138" spans="1:125" s="595" customFormat="1">
      <c r="A138" s="714" t="s">
        <v>1349</v>
      </c>
      <c r="B138" s="747" t="s">
        <v>603</v>
      </c>
      <c r="C138" s="1327" t="s">
        <v>647</v>
      </c>
      <c r="D138" s="737" t="s">
        <v>18</v>
      </c>
      <c r="E138" s="975"/>
      <c r="F138" s="972">
        <v>8</v>
      </c>
      <c r="G138" s="782"/>
      <c r="H138" s="968"/>
      <c r="I138" s="968"/>
      <c r="J138" s="968"/>
      <c r="K138" s="968"/>
      <c r="L138" s="968"/>
      <c r="M138" s="968"/>
      <c r="N138" s="774">
        <f>SUM(E138:M138)</f>
        <v>8</v>
      </c>
      <c r="O138" s="771"/>
      <c r="P138" s="711">
        <f t="shared" si="16"/>
        <v>0</v>
      </c>
      <c r="Q138" s="685"/>
      <c r="R138" s="680"/>
      <c r="S138" s="680"/>
      <c r="T138" s="680"/>
      <c r="U138" s="680"/>
      <c r="V138" s="680"/>
      <c r="W138" s="680"/>
      <c r="X138" s="680"/>
      <c r="Y138" s="680"/>
      <c r="Z138" s="680"/>
      <c r="AA138" s="680"/>
      <c r="AB138" s="680"/>
      <c r="AC138" s="680"/>
      <c r="AD138" s="680"/>
      <c r="AE138" s="680"/>
      <c r="AF138" s="680"/>
      <c r="AG138" s="680"/>
      <c r="AH138" s="680"/>
      <c r="AI138" s="680"/>
      <c r="AJ138" s="680"/>
      <c r="AK138" s="680"/>
      <c r="AL138" s="680"/>
      <c r="AM138" s="680"/>
      <c r="AN138" s="680"/>
      <c r="AO138" s="680"/>
      <c r="AP138" s="680"/>
      <c r="AQ138" s="680"/>
      <c r="AR138" s="680"/>
      <c r="AS138" s="680"/>
      <c r="AT138" s="680"/>
      <c r="AU138" s="680"/>
      <c r="AV138" s="680"/>
      <c r="AW138" s="680"/>
      <c r="AX138" s="680"/>
      <c r="AY138" s="680"/>
      <c r="AZ138" s="680"/>
      <c r="BA138" s="680"/>
      <c r="BB138" s="680"/>
      <c r="BC138" s="680"/>
      <c r="BD138" s="680"/>
      <c r="BE138" s="680"/>
      <c r="BF138" s="680"/>
      <c r="BG138" s="680"/>
      <c r="BH138" s="680"/>
      <c r="BI138" s="680"/>
      <c r="BJ138" s="680"/>
      <c r="BK138" s="680"/>
      <c r="BL138" s="680"/>
      <c r="BM138" s="680"/>
      <c r="BN138" s="680"/>
      <c r="BO138" s="680"/>
      <c r="BP138" s="680"/>
      <c r="BQ138" s="680"/>
      <c r="BR138" s="680"/>
      <c r="BS138" s="680"/>
      <c r="BT138" s="680"/>
      <c r="BU138" s="680"/>
      <c r="BV138" s="680"/>
      <c r="BW138" s="680"/>
      <c r="BX138" s="680"/>
      <c r="BY138" s="680"/>
      <c r="BZ138" s="680"/>
      <c r="CA138" s="680"/>
      <c r="CB138" s="680"/>
      <c r="CC138" s="680"/>
      <c r="CD138" s="680"/>
      <c r="CE138" s="680"/>
      <c r="CF138" s="680"/>
      <c r="CG138" s="680"/>
      <c r="CH138" s="680"/>
      <c r="CI138" s="680"/>
      <c r="CJ138" s="680"/>
      <c r="CK138" s="680"/>
      <c r="CL138" s="680"/>
      <c r="CM138" s="680"/>
      <c r="CN138" s="680"/>
      <c r="CO138" s="680"/>
      <c r="CP138" s="680"/>
      <c r="CQ138" s="680"/>
      <c r="CR138" s="680"/>
      <c r="CS138" s="680"/>
      <c r="CT138" s="680"/>
      <c r="CU138" s="680"/>
      <c r="CV138" s="680"/>
      <c r="CW138" s="680"/>
      <c r="CX138" s="680"/>
      <c r="CY138" s="680"/>
      <c r="CZ138" s="680"/>
      <c r="DA138" s="680"/>
      <c r="DB138" s="680"/>
      <c r="DC138" s="680"/>
      <c r="DD138" s="680"/>
      <c r="DE138" s="680"/>
      <c r="DF138" s="680"/>
      <c r="DG138" s="680"/>
      <c r="DH138" s="680"/>
      <c r="DI138" s="680"/>
      <c r="DJ138" s="680"/>
      <c r="DK138" s="680"/>
      <c r="DL138" s="680"/>
      <c r="DM138" s="680"/>
      <c r="DN138" s="680"/>
      <c r="DO138" s="680"/>
      <c r="DP138" s="680"/>
      <c r="DQ138" s="680"/>
      <c r="DR138" s="680"/>
      <c r="DS138" s="680"/>
      <c r="DT138" s="680"/>
      <c r="DU138" s="680"/>
    </row>
    <row r="139" spans="1:125" s="595" customFormat="1">
      <c r="A139" s="714" t="s">
        <v>1350</v>
      </c>
      <c r="B139" s="747" t="s">
        <v>475</v>
      </c>
      <c r="C139" s="1327" t="s">
        <v>647</v>
      </c>
      <c r="D139" s="737" t="s">
        <v>18</v>
      </c>
      <c r="E139" s="975"/>
      <c r="F139" s="972">
        <v>1</v>
      </c>
      <c r="G139" s="782"/>
      <c r="H139" s="968"/>
      <c r="I139" s="968"/>
      <c r="J139" s="968"/>
      <c r="K139" s="968"/>
      <c r="L139" s="968"/>
      <c r="M139" s="968"/>
      <c r="N139" s="774">
        <f>SUM(E139:M139)</f>
        <v>1</v>
      </c>
      <c r="O139" s="771"/>
      <c r="P139" s="711">
        <f t="shared" si="16"/>
        <v>0</v>
      </c>
      <c r="Q139" s="685"/>
      <c r="R139" s="680"/>
      <c r="S139" s="680"/>
      <c r="T139" s="680"/>
      <c r="U139" s="680"/>
      <c r="V139" s="680"/>
      <c r="W139" s="680"/>
      <c r="X139" s="680"/>
      <c r="Y139" s="680"/>
      <c r="Z139" s="680"/>
      <c r="AA139" s="680"/>
      <c r="AB139" s="680"/>
      <c r="AC139" s="680"/>
      <c r="AD139" s="680"/>
      <c r="AE139" s="680"/>
      <c r="AF139" s="680"/>
      <c r="AG139" s="680"/>
      <c r="AH139" s="680"/>
      <c r="AI139" s="680"/>
      <c r="AJ139" s="680"/>
      <c r="AK139" s="680"/>
      <c r="AL139" s="680"/>
      <c r="AM139" s="680"/>
      <c r="AN139" s="680"/>
      <c r="AO139" s="680"/>
      <c r="AP139" s="680"/>
      <c r="AQ139" s="680"/>
      <c r="AR139" s="680"/>
      <c r="AS139" s="680"/>
      <c r="AT139" s="680"/>
      <c r="AU139" s="680"/>
      <c r="AV139" s="680"/>
      <c r="AW139" s="680"/>
      <c r="AX139" s="680"/>
      <c r="AY139" s="680"/>
      <c r="AZ139" s="680"/>
      <c r="BA139" s="680"/>
      <c r="BB139" s="680"/>
      <c r="BC139" s="680"/>
      <c r="BD139" s="680"/>
      <c r="BE139" s="680"/>
      <c r="BF139" s="680"/>
      <c r="BG139" s="680"/>
      <c r="BH139" s="680"/>
      <c r="BI139" s="680"/>
      <c r="BJ139" s="680"/>
      <c r="BK139" s="680"/>
      <c r="BL139" s="680"/>
      <c r="BM139" s="680"/>
      <c r="BN139" s="680"/>
      <c r="BO139" s="680"/>
      <c r="BP139" s="680"/>
      <c r="BQ139" s="680"/>
      <c r="BR139" s="680"/>
      <c r="BS139" s="680"/>
      <c r="BT139" s="680"/>
      <c r="BU139" s="680"/>
      <c r="BV139" s="680"/>
      <c r="BW139" s="680"/>
      <c r="BX139" s="680"/>
      <c r="BY139" s="680"/>
      <c r="BZ139" s="680"/>
      <c r="CA139" s="680"/>
      <c r="CB139" s="680"/>
      <c r="CC139" s="680"/>
      <c r="CD139" s="680"/>
      <c r="CE139" s="680"/>
      <c r="CF139" s="680"/>
      <c r="CG139" s="680"/>
      <c r="CH139" s="680"/>
      <c r="CI139" s="680"/>
      <c r="CJ139" s="680"/>
      <c r="CK139" s="680"/>
      <c r="CL139" s="680"/>
      <c r="CM139" s="680"/>
      <c r="CN139" s="680"/>
      <c r="CO139" s="680"/>
      <c r="CP139" s="680"/>
      <c r="CQ139" s="680"/>
      <c r="CR139" s="680"/>
      <c r="CS139" s="680"/>
      <c r="CT139" s="680"/>
      <c r="CU139" s="680"/>
      <c r="CV139" s="680"/>
      <c r="CW139" s="680"/>
      <c r="CX139" s="680"/>
      <c r="CY139" s="680"/>
      <c r="CZ139" s="680"/>
      <c r="DA139" s="680"/>
      <c r="DB139" s="680"/>
      <c r="DC139" s="680"/>
      <c r="DD139" s="680"/>
      <c r="DE139" s="680"/>
      <c r="DF139" s="680"/>
      <c r="DG139" s="680"/>
      <c r="DH139" s="680"/>
      <c r="DI139" s="680"/>
      <c r="DJ139" s="680"/>
      <c r="DK139" s="680"/>
      <c r="DL139" s="680"/>
      <c r="DM139" s="680"/>
      <c r="DN139" s="680"/>
      <c r="DO139" s="680"/>
      <c r="DP139" s="680"/>
      <c r="DQ139" s="680"/>
      <c r="DR139" s="680"/>
      <c r="DS139" s="680"/>
      <c r="DT139" s="680"/>
      <c r="DU139" s="680"/>
    </row>
    <row r="140" spans="1:125" s="595" customFormat="1">
      <c r="A140" s="714" t="s">
        <v>1351</v>
      </c>
      <c r="B140" s="747" t="s">
        <v>476</v>
      </c>
      <c r="C140" s="1327" t="s">
        <v>647</v>
      </c>
      <c r="D140" s="737" t="s">
        <v>18</v>
      </c>
      <c r="E140" s="975"/>
      <c r="F140" s="972">
        <v>7</v>
      </c>
      <c r="G140" s="782"/>
      <c r="H140" s="968"/>
      <c r="I140" s="968"/>
      <c r="J140" s="968"/>
      <c r="K140" s="968"/>
      <c r="L140" s="968"/>
      <c r="M140" s="968"/>
      <c r="N140" s="774">
        <f>SUM(E140:M140)</f>
        <v>7</v>
      </c>
      <c r="O140" s="771"/>
      <c r="P140" s="711">
        <f t="shared" si="16"/>
        <v>0</v>
      </c>
      <c r="Q140" s="685"/>
      <c r="R140" s="680"/>
      <c r="S140" s="680"/>
      <c r="T140" s="680"/>
      <c r="U140" s="680"/>
      <c r="V140" s="680"/>
      <c r="W140" s="680"/>
      <c r="X140" s="680"/>
      <c r="Y140" s="680"/>
      <c r="Z140" s="680"/>
      <c r="AA140" s="680"/>
      <c r="AB140" s="680"/>
      <c r="AC140" s="680"/>
      <c r="AD140" s="680"/>
      <c r="AE140" s="680"/>
      <c r="AF140" s="680"/>
      <c r="AG140" s="680"/>
      <c r="AH140" s="680"/>
      <c r="AI140" s="680"/>
      <c r="AJ140" s="680"/>
      <c r="AK140" s="680"/>
      <c r="AL140" s="680"/>
      <c r="AM140" s="680"/>
      <c r="AN140" s="680"/>
      <c r="AO140" s="680"/>
      <c r="AP140" s="680"/>
      <c r="AQ140" s="680"/>
      <c r="AR140" s="680"/>
      <c r="AS140" s="680"/>
      <c r="AT140" s="680"/>
      <c r="AU140" s="680"/>
      <c r="AV140" s="680"/>
      <c r="AW140" s="680"/>
      <c r="AX140" s="680"/>
      <c r="AY140" s="680"/>
      <c r="AZ140" s="680"/>
      <c r="BA140" s="680"/>
      <c r="BB140" s="680"/>
      <c r="BC140" s="680"/>
      <c r="BD140" s="680"/>
      <c r="BE140" s="680"/>
      <c r="BF140" s="680"/>
      <c r="BG140" s="680"/>
      <c r="BH140" s="680"/>
      <c r="BI140" s="680"/>
      <c r="BJ140" s="680"/>
      <c r="BK140" s="680"/>
      <c r="BL140" s="680"/>
      <c r="BM140" s="680"/>
      <c r="BN140" s="680"/>
      <c r="BO140" s="680"/>
      <c r="BP140" s="680"/>
      <c r="BQ140" s="680"/>
      <c r="BR140" s="680"/>
      <c r="BS140" s="680"/>
      <c r="BT140" s="680"/>
      <c r="BU140" s="680"/>
      <c r="BV140" s="680"/>
      <c r="BW140" s="680"/>
      <c r="BX140" s="680"/>
      <c r="BY140" s="680"/>
      <c r="BZ140" s="680"/>
      <c r="CA140" s="680"/>
      <c r="CB140" s="680"/>
      <c r="CC140" s="680"/>
      <c r="CD140" s="680"/>
      <c r="CE140" s="680"/>
      <c r="CF140" s="680"/>
      <c r="CG140" s="680"/>
      <c r="CH140" s="680"/>
      <c r="CI140" s="680"/>
      <c r="CJ140" s="680"/>
      <c r="CK140" s="680"/>
      <c r="CL140" s="680"/>
      <c r="CM140" s="680"/>
      <c r="CN140" s="680"/>
      <c r="CO140" s="680"/>
      <c r="CP140" s="680"/>
      <c r="CQ140" s="680"/>
      <c r="CR140" s="680"/>
      <c r="CS140" s="680"/>
      <c r="CT140" s="680"/>
      <c r="CU140" s="680"/>
      <c r="CV140" s="680"/>
      <c r="CW140" s="680"/>
      <c r="CX140" s="680"/>
      <c r="CY140" s="680"/>
      <c r="CZ140" s="680"/>
      <c r="DA140" s="680"/>
      <c r="DB140" s="680"/>
      <c r="DC140" s="680"/>
      <c r="DD140" s="680"/>
      <c r="DE140" s="680"/>
      <c r="DF140" s="680"/>
      <c r="DG140" s="680"/>
      <c r="DH140" s="680"/>
      <c r="DI140" s="680"/>
      <c r="DJ140" s="680"/>
      <c r="DK140" s="680"/>
      <c r="DL140" s="680"/>
      <c r="DM140" s="680"/>
      <c r="DN140" s="680"/>
      <c r="DO140" s="680"/>
      <c r="DP140" s="680"/>
      <c r="DQ140" s="680"/>
      <c r="DR140" s="680"/>
      <c r="DS140" s="680"/>
      <c r="DT140" s="680"/>
      <c r="DU140" s="680"/>
    </row>
    <row r="141" spans="1:125" s="595" customFormat="1">
      <c r="A141" s="716" t="s">
        <v>868</v>
      </c>
      <c r="B141" s="1034" t="s">
        <v>474</v>
      </c>
      <c r="C141" s="1325"/>
      <c r="D141" s="702"/>
      <c r="E141" s="975"/>
      <c r="F141" s="972"/>
      <c r="G141" s="782"/>
      <c r="H141" s="968"/>
      <c r="I141" s="968"/>
      <c r="J141" s="968"/>
      <c r="K141" s="968"/>
      <c r="L141" s="968"/>
      <c r="M141" s="968"/>
      <c r="N141" s="774"/>
      <c r="O141" s="775"/>
      <c r="P141" s="711"/>
      <c r="Q141" s="685"/>
      <c r="R141" s="680"/>
      <c r="S141" s="680"/>
      <c r="T141" s="680"/>
      <c r="U141" s="680"/>
      <c r="V141" s="680"/>
      <c r="W141" s="680"/>
      <c r="X141" s="680"/>
      <c r="Y141" s="680"/>
      <c r="Z141" s="680"/>
      <c r="AA141" s="680"/>
      <c r="AB141" s="680"/>
      <c r="AC141" s="680"/>
      <c r="AD141" s="680"/>
      <c r="AE141" s="680"/>
      <c r="AF141" s="680"/>
      <c r="AG141" s="680"/>
      <c r="AH141" s="680"/>
      <c r="AI141" s="680"/>
      <c r="AJ141" s="680"/>
      <c r="AK141" s="680"/>
      <c r="AL141" s="680"/>
      <c r="AM141" s="680"/>
      <c r="AN141" s="680"/>
      <c r="AO141" s="680"/>
      <c r="AP141" s="680"/>
      <c r="AQ141" s="680"/>
      <c r="AR141" s="680"/>
      <c r="AS141" s="680"/>
      <c r="AT141" s="680"/>
      <c r="AU141" s="680"/>
      <c r="AV141" s="680"/>
      <c r="AW141" s="680"/>
      <c r="AX141" s="680"/>
      <c r="AY141" s="680"/>
      <c r="AZ141" s="680"/>
      <c r="BA141" s="680"/>
      <c r="BB141" s="680"/>
      <c r="BC141" s="680"/>
      <c r="BD141" s="680"/>
      <c r="BE141" s="680"/>
      <c r="BF141" s="680"/>
      <c r="BG141" s="680"/>
      <c r="BH141" s="680"/>
      <c r="BI141" s="680"/>
      <c r="BJ141" s="680"/>
      <c r="BK141" s="680"/>
      <c r="BL141" s="680"/>
      <c r="BM141" s="680"/>
      <c r="BN141" s="680"/>
      <c r="BO141" s="680"/>
      <c r="BP141" s="680"/>
      <c r="BQ141" s="680"/>
      <c r="BR141" s="680"/>
      <c r="BS141" s="680"/>
      <c r="BT141" s="680"/>
      <c r="BU141" s="680"/>
      <c r="BV141" s="680"/>
      <c r="BW141" s="680"/>
      <c r="BX141" s="680"/>
      <c r="BY141" s="680"/>
      <c r="BZ141" s="680"/>
      <c r="CA141" s="680"/>
      <c r="CB141" s="680"/>
      <c r="CC141" s="680"/>
      <c r="CD141" s="680"/>
      <c r="CE141" s="680"/>
      <c r="CF141" s="680"/>
      <c r="CG141" s="680"/>
      <c r="CH141" s="680"/>
      <c r="CI141" s="680"/>
      <c r="CJ141" s="680"/>
      <c r="CK141" s="680"/>
      <c r="CL141" s="680"/>
      <c r="CM141" s="680"/>
      <c r="CN141" s="680"/>
      <c r="CO141" s="680"/>
      <c r="CP141" s="680"/>
      <c r="CQ141" s="680"/>
      <c r="CR141" s="680"/>
      <c r="CS141" s="680"/>
      <c r="CT141" s="680"/>
      <c r="CU141" s="680"/>
      <c r="CV141" s="680"/>
      <c r="CW141" s="680"/>
      <c r="CX141" s="680"/>
      <c r="CY141" s="680"/>
      <c r="CZ141" s="680"/>
      <c r="DA141" s="680"/>
      <c r="DB141" s="680"/>
      <c r="DC141" s="680"/>
      <c r="DD141" s="680"/>
      <c r="DE141" s="680"/>
      <c r="DF141" s="680"/>
      <c r="DG141" s="680"/>
      <c r="DH141" s="680"/>
      <c r="DI141" s="680"/>
      <c r="DJ141" s="680"/>
      <c r="DK141" s="680"/>
      <c r="DL141" s="680"/>
      <c r="DM141" s="680"/>
      <c r="DN141" s="680"/>
      <c r="DO141" s="680"/>
      <c r="DP141" s="680"/>
      <c r="DQ141" s="680"/>
      <c r="DR141" s="680"/>
      <c r="DS141" s="680"/>
      <c r="DT141" s="680"/>
      <c r="DU141" s="680"/>
    </row>
    <row r="142" spans="1:125" s="595" customFormat="1">
      <c r="A142" s="714" t="s">
        <v>869</v>
      </c>
      <c r="B142" s="747" t="s">
        <v>603</v>
      </c>
      <c r="C142" s="1327" t="s">
        <v>648</v>
      </c>
      <c r="D142" s="737" t="s">
        <v>18</v>
      </c>
      <c r="E142" s="975">
        <v>1</v>
      </c>
      <c r="F142" s="972"/>
      <c r="G142" s="782">
        <v>1</v>
      </c>
      <c r="H142" s="968"/>
      <c r="I142" s="968"/>
      <c r="J142" s="968"/>
      <c r="K142" s="968">
        <v>1</v>
      </c>
      <c r="L142" s="968">
        <v>1</v>
      </c>
      <c r="M142" s="968"/>
      <c r="N142" s="774">
        <f>SUM(E142:M142)</f>
        <v>4</v>
      </c>
      <c r="O142" s="771"/>
      <c r="P142" s="711">
        <f t="shared" si="16"/>
        <v>0</v>
      </c>
      <c r="Q142" s="685"/>
      <c r="R142" s="680"/>
      <c r="S142" s="680"/>
      <c r="T142" s="680"/>
      <c r="U142" s="680"/>
      <c r="V142" s="680"/>
      <c r="W142" s="680"/>
      <c r="X142" s="680"/>
      <c r="Y142" s="680"/>
      <c r="Z142" s="680"/>
      <c r="AA142" s="680"/>
      <c r="AB142" s="680"/>
      <c r="AC142" s="680"/>
      <c r="AD142" s="680"/>
      <c r="AE142" s="680"/>
      <c r="AF142" s="680"/>
      <c r="AG142" s="680"/>
      <c r="AH142" s="680"/>
      <c r="AI142" s="680"/>
      <c r="AJ142" s="680"/>
      <c r="AK142" s="680"/>
      <c r="AL142" s="680"/>
      <c r="AM142" s="680"/>
      <c r="AN142" s="680"/>
      <c r="AO142" s="680"/>
      <c r="AP142" s="680"/>
      <c r="AQ142" s="680"/>
      <c r="AR142" s="680"/>
      <c r="AS142" s="680"/>
      <c r="AT142" s="680"/>
      <c r="AU142" s="680"/>
      <c r="AV142" s="680"/>
      <c r="AW142" s="680"/>
      <c r="AX142" s="680"/>
      <c r="AY142" s="680"/>
      <c r="AZ142" s="680"/>
      <c r="BA142" s="680"/>
      <c r="BB142" s="680"/>
      <c r="BC142" s="680"/>
      <c r="BD142" s="680"/>
      <c r="BE142" s="680"/>
      <c r="BF142" s="680"/>
      <c r="BG142" s="680"/>
      <c r="BH142" s="680"/>
      <c r="BI142" s="680"/>
      <c r="BJ142" s="680"/>
      <c r="BK142" s="680"/>
      <c r="BL142" s="680"/>
      <c r="BM142" s="680"/>
      <c r="BN142" s="680"/>
      <c r="BO142" s="680"/>
      <c r="BP142" s="680"/>
      <c r="BQ142" s="680"/>
      <c r="BR142" s="680"/>
      <c r="BS142" s="680"/>
      <c r="BT142" s="680"/>
      <c r="BU142" s="680"/>
      <c r="BV142" s="680"/>
      <c r="BW142" s="680"/>
      <c r="BX142" s="680"/>
      <c r="BY142" s="680"/>
      <c r="BZ142" s="680"/>
      <c r="CA142" s="680"/>
      <c r="CB142" s="680"/>
      <c r="CC142" s="680"/>
      <c r="CD142" s="680"/>
      <c r="CE142" s="680"/>
      <c r="CF142" s="680"/>
      <c r="CG142" s="680"/>
      <c r="CH142" s="680"/>
      <c r="CI142" s="680"/>
      <c r="CJ142" s="680"/>
      <c r="CK142" s="680"/>
      <c r="CL142" s="680"/>
      <c r="CM142" s="680"/>
      <c r="CN142" s="680"/>
      <c r="CO142" s="680"/>
      <c r="CP142" s="680"/>
      <c r="CQ142" s="680"/>
      <c r="CR142" s="680"/>
      <c r="CS142" s="680"/>
      <c r="CT142" s="680"/>
      <c r="CU142" s="680"/>
      <c r="CV142" s="680"/>
      <c r="CW142" s="680"/>
      <c r="CX142" s="680"/>
      <c r="CY142" s="680"/>
      <c r="CZ142" s="680"/>
      <c r="DA142" s="680"/>
      <c r="DB142" s="680"/>
      <c r="DC142" s="680"/>
      <c r="DD142" s="680"/>
      <c r="DE142" s="680"/>
      <c r="DF142" s="680"/>
      <c r="DG142" s="680"/>
      <c r="DH142" s="680"/>
      <c r="DI142" s="680"/>
      <c r="DJ142" s="680"/>
      <c r="DK142" s="680"/>
      <c r="DL142" s="680"/>
      <c r="DM142" s="680"/>
      <c r="DN142" s="680"/>
      <c r="DO142" s="680"/>
      <c r="DP142" s="680"/>
      <c r="DQ142" s="680"/>
      <c r="DR142" s="680"/>
      <c r="DS142" s="680"/>
      <c r="DT142" s="680"/>
      <c r="DU142" s="680"/>
    </row>
    <row r="143" spans="1:125" s="595" customFormat="1">
      <c r="A143" s="714" t="s">
        <v>870</v>
      </c>
      <c r="B143" s="747" t="s">
        <v>475</v>
      </c>
      <c r="C143" s="1327" t="s">
        <v>648</v>
      </c>
      <c r="D143" s="737" t="s">
        <v>18</v>
      </c>
      <c r="E143" s="975">
        <v>1</v>
      </c>
      <c r="F143" s="972"/>
      <c r="G143" s="782">
        <v>1</v>
      </c>
      <c r="H143" s="968"/>
      <c r="I143" s="968"/>
      <c r="J143" s="968"/>
      <c r="K143" s="968">
        <v>1</v>
      </c>
      <c r="L143" s="968">
        <v>1</v>
      </c>
      <c r="M143" s="968"/>
      <c r="N143" s="774">
        <f>SUM(E143:M143)</f>
        <v>4</v>
      </c>
      <c r="O143" s="771"/>
      <c r="P143" s="711">
        <f t="shared" si="16"/>
        <v>0</v>
      </c>
      <c r="Q143" s="685"/>
      <c r="R143" s="680"/>
      <c r="S143" s="680"/>
      <c r="T143" s="680"/>
      <c r="U143" s="680"/>
      <c r="V143" s="680"/>
      <c r="W143" s="680"/>
      <c r="X143" s="680"/>
      <c r="Y143" s="680"/>
      <c r="Z143" s="680"/>
      <c r="AA143" s="680"/>
      <c r="AB143" s="680"/>
      <c r="AC143" s="680"/>
      <c r="AD143" s="680"/>
      <c r="AE143" s="680"/>
      <c r="AF143" s="680"/>
      <c r="AG143" s="680"/>
      <c r="AH143" s="680"/>
      <c r="AI143" s="680"/>
      <c r="AJ143" s="680"/>
      <c r="AK143" s="680"/>
      <c r="AL143" s="680"/>
      <c r="AM143" s="680"/>
      <c r="AN143" s="680"/>
      <c r="AO143" s="680"/>
      <c r="AP143" s="680"/>
      <c r="AQ143" s="680"/>
      <c r="AR143" s="680"/>
      <c r="AS143" s="680"/>
      <c r="AT143" s="680"/>
      <c r="AU143" s="680"/>
      <c r="AV143" s="680"/>
      <c r="AW143" s="680"/>
      <c r="AX143" s="680"/>
      <c r="AY143" s="680"/>
      <c r="AZ143" s="680"/>
      <c r="BA143" s="680"/>
      <c r="BB143" s="680"/>
      <c r="BC143" s="680"/>
      <c r="BD143" s="680"/>
      <c r="BE143" s="680"/>
      <c r="BF143" s="680"/>
      <c r="BG143" s="680"/>
      <c r="BH143" s="680"/>
      <c r="BI143" s="680"/>
      <c r="BJ143" s="680"/>
      <c r="BK143" s="680"/>
      <c r="BL143" s="680"/>
      <c r="BM143" s="680"/>
      <c r="BN143" s="680"/>
      <c r="BO143" s="680"/>
      <c r="BP143" s="680"/>
      <c r="BQ143" s="680"/>
      <c r="BR143" s="680"/>
      <c r="BS143" s="680"/>
      <c r="BT143" s="680"/>
      <c r="BU143" s="680"/>
      <c r="BV143" s="680"/>
      <c r="BW143" s="680"/>
      <c r="BX143" s="680"/>
      <c r="BY143" s="680"/>
      <c r="BZ143" s="680"/>
      <c r="CA143" s="680"/>
      <c r="CB143" s="680"/>
      <c r="CC143" s="680"/>
      <c r="CD143" s="680"/>
      <c r="CE143" s="680"/>
      <c r="CF143" s="680"/>
      <c r="CG143" s="680"/>
      <c r="CH143" s="680"/>
      <c r="CI143" s="680"/>
      <c r="CJ143" s="680"/>
      <c r="CK143" s="680"/>
      <c r="CL143" s="680"/>
      <c r="CM143" s="680"/>
      <c r="CN143" s="680"/>
      <c r="CO143" s="680"/>
      <c r="CP143" s="680"/>
      <c r="CQ143" s="680"/>
      <c r="CR143" s="680"/>
      <c r="CS143" s="680"/>
      <c r="CT143" s="680"/>
      <c r="CU143" s="680"/>
      <c r="CV143" s="680"/>
      <c r="CW143" s="680"/>
      <c r="CX143" s="680"/>
      <c r="CY143" s="680"/>
      <c r="CZ143" s="680"/>
      <c r="DA143" s="680"/>
      <c r="DB143" s="680"/>
      <c r="DC143" s="680"/>
      <c r="DD143" s="680"/>
      <c r="DE143" s="680"/>
      <c r="DF143" s="680"/>
      <c r="DG143" s="680"/>
      <c r="DH143" s="680"/>
      <c r="DI143" s="680"/>
      <c r="DJ143" s="680"/>
      <c r="DK143" s="680"/>
      <c r="DL143" s="680"/>
      <c r="DM143" s="680"/>
      <c r="DN143" s="680"/>
      <c r="DO143" s="680"/>
      <c r="DP143" s="680"/>
      <c r="DQ143" s="680"/>
      <c r="DR143" s="680"/>
      <c r="DS143" s="680"/>
      <c r="DT143" s="680"/>
      <c r="DU143" s="680"/>
    </row>
    <row r="144" spans="1:125" s="595" customFormat="1">
      <c r="A144" s="714" t="s">
        <v>871</v>
      </c>
      <c r="B144" s="747" t="s">
        <v>476</v>
      </c>
      <c r="C144" s="1327" t="s">
        <v>648</v>
      </c>
      <c r="D144" s="737" t="s">
        <v>18</v>
      </c>
      <c r="E144" s="975">
        <v>1</v>
      </c>
      <c r="F144" s="972"/>
      <c r="G144" s="782">
        <v>1</v>
      </c>
      <c r="H144" s="968"/>
      <c r="I144" s="968"/>
      <c r="J144" s="968"/>
      <c r="K144" s="968">
        <v>1</v>
      </c>
      <c r="L144" s="968">
        <v>1</v>
      </c>
      <c r="M144" s="968"/>
      <c r="N144" s="774">
        <f>SUM(E144:M144)</f>
        <v>4</v>
      </c>
      <c r="O144" s="771"/>
      <c r="P144" s="711">
        <f t="shared" si="16"/>
        <v>0</v>
      </c>
      <c r="Q144" s="685"/>
      <c r="R144" s="680"/>
      <c r="S144" s="680"/>
      <c r="T144" s="680"/>
      <c r="U144" s="680"/>
      <c r="V144" s="680"/>
      <c r="W144" s="680"/>
      <c r="X144" s="680"/>
      <c r="Y144" s="680"/>
      <c r="Z144" s="680"/>
      <c r="AA144" s="680"/>
      <c r="AB144" s="680"/>
      <c r="AC144" s="680"/>
      <c r="AD144" s="680"/>
      <c r="AE144" s="680"/>
      <c r="AF144" s="680"/>
      <c r="AG144" s="680"/>
      <c r="AH144" s="680"/>
      <c r="AI144" s="680"/>
      <c r="AJ144" s="680"/>
      <c r="AK144" s="680"/>
      <c r="AL144" s="680"/>
      <c r="AM144" s="680"/>
      <c r="AN144" s="680"/>
      <c r="AO144" s="680"/>
      <c r="AP144" s="680"/>
      <c r="AQ144" s="680"/>
      <c r="AR144" s="680"/>
      <c r="AS144" s="680"/>
      <c r="AT144" s="680"/>
      <c r="AU144" s="680"/>
      <c r="AV144" s="680"/>
      <c r="AW144" s="680"/>
      <c r="AX144" s="680"/>
      <c r="AY144" s="680"/>
      <c r="AZ144" s="680"/>
      <c r="BA144" s="680"/>
      <c r="BB144" s="680"/>
      <c r="BC144" s="680"/>
      <c r="BD144" s="680"/>
      <c r="BE144" s="680"/>
      <c r="BF144" s="680"/>
      <c r="BG144" s="680"/>
      <c r="BH144" s="680"/>
      <c r="BI144" s="680"/>
      <c r="BJ144" s="680"/>
      <c r="BK144" s="680"/>
      <c r="BL144" s="680"/>
      <c r="BM144" s="680"/>
      <c r="BN144" s="680"/>
      <c r="BO144" s="680"/>
      <c r="BP144" s="680"/>
      <c r="BQ144" s="680"/>
      <c r="BR144" s="680"/>
      <c r="BS144" s="680"/>
      <c r="BT144" s="680"/>
      <c r="BU144" s="680"/>
      <c r="BV144" s="680"/>
      <c r="BW144" s="680"/>
      <c r="BX144" s="680"/>
      <c r="BY144" s="680"/>
      <c r="BZ144" s="680"/>
      <c r="CA144" s="680"/>
      <c r="CB144" s="680"/>
      <c r="CC144" s="680"/>
      <c r="CD144" s="680"/>
      <c r="CE144" s="680"/>
      <c r="CF144" s="680"/>
      <c r="CG144" s="680"/>
      <c r="CH144" s="680"/>
      <c r="CI144" s="680"/>
      <c r="CJ144" s="680"/>
      <c r="CK144" s="680"/>
      <c r="CL144" s="680"/>
      <c r="CM144" s="680"/>
      <c r="CN144" s="680"/>
      <c r="CO144" s="680"/>
      <c r="CP144" s="680"/>
      <c r="CQ144" s="680"/>
      <c r="CR144" s="680"/>
      <c r="CS144" s="680"/>
      <c r="CT144" s="680"/>
      <c r="CU144" s="680"/>
      <c r="CV144" s="680"/>
      <c r="CW144" s="680"/>
      <c r="CX144" s="680"/>
      <c r="CY144" s="680"/>
      <c r="CZ144" s="680"/>
      <c r="DA144" s="680"/>
      <c r="DB144" s="680"/>
      <c r="DC144" s="680"/>
      <c r="DD144" s="680"/>
      <c r="DE144" s="680"/>
      <c r="DF144" s="680"/>
      <c r="DG144" s="680"/>
      <c r="DH144" s="680"/>
      <c r="DI144" s="680"/>
      <c r="DJ144" s="680"/>
      <c r="DK144" s="680"/>
      <c r="DL144" s="680"/>
      <c r="DM144" s="680"/>
      <c r="DN144" s="680"/>
      <c r="DO144" s="680"/>
      <c r="DP144" s="680"/>
      <c r="DQ144" s="680"/>
      <c r="DR144" s="680"/>
      <c r="DS144" s="680"/>
      <c r="DT144" s="680"/>
      <c r="DU144" s="680"/>
    </row>
    <row r="145" spans="1:125" s="592" customFormat="1">
      <c r="A145" s="715" t="s">
        <v>353</v>
      </c>
      <c r="B145" s="1056" t="s">
        <v>388</v>
      </c>
      <c r="C145" s="1419" t="s">
        <v>2257</v>
      </c>
      <c r="D145" s="739"/>
      <c r="E145" s="709"/>
      <c r="F145" s="709"/>
      <c r="G145" s="825"/>
      <c r="H145" s="709"/>
      <c r="I145" s="709"/>
      <c r="J145" s="709"/>
      <c r="K145" s="709"/>
      <c r="L145" s="709"/>
      <c r="M145" s="709"/>
      <c r="N145" s="773"/>
      <c r="O145" s="773"/>
      <c r="P145" s="707">
        <f>SUM(P146:P218)</f>
        <v>0</v>
      </c>
      <c r="Q145" s="1320"/>
      <c r="R145" s="1320"/>
      <c r="S145" s="1320"/>
      <c r="T145" s="1320"/>
      <c r="U145" s="1320"/>
      <c r="V145" s="1320"/>
      <c r="W145" s="1320"/>
      <c r="X145" s="1320"/>
      <c r="Y145" s="1320"/>
      <c r="Z145" s="1320"/>
      <c r="AA145" s="1320"/>
      <c r="AB145" s="1320"/>
      <c r="AC145" s="1320"/>
      <c r="AD145" s="1320"/>
      <c r="AE145" s="1320"/>
      <c r="AF145" s="1320"/>
      <c r="AG145" s="1320"/>
      <c r="AH145" s="1320"/>
      <c r="AI145" s="1320"/>
      <c r="AJ145" s="1320"/>
      <c r="AK145" s="1320"/>
      <c r="AL145" s="1320"/>
      <c r="AM145" s="1320"/>
      <c r="AN145" s="1320"/>
      <c r="AO145" s="1320"/>
      <c r="AP145" s="1320"/>
      <c r="AQ145" s="1320"/>
      <c r="AR145" s="1320"/>
      <c r="AS145" s="1320"/>
      <c r="AT145" s="1320"/>
      <c r="AU145" s="1320"/>
      <c r="AV145" s="1320"/>
      <c r="AW145" s="1320"/>
      <c r="AX145" s="1320"/>
      <c r="AY145" s="1320"/>
      <c r="AZ145" s="1320"/>
      <c r="BA145" s="1320"/>
      <c r="BB145" s="1320"/>
      <c r="BC145" s="1320"/>
      <c r="BD145" s="1320"/>
      <c r="BE145" s="1320"/>
      <c r="BF145" s="1320"/>
      <c r="BG145" s="1320"/>
      <c r="BH145" s="1320"/>
      <c r="BI145" s="1320"/>
      <c r="BJ145" s="1320"/>
      <c r="BK145" s="1320"/>
      <c r="BL145" s="1320"/>
      <c r="BM145" s="1320"/>
      <c r="BN145" s="1320"/>
      <c r="BO145" s="1320"/>
      <c r="BP145" s="1320"/>
      <c r="BQ145" s="1320"/>
      <c r="BR145" s="1320"/>
      <c r="BS145" s="1320"/>
      <c r="BT145" s="1320"/>
      <c r="BU145" s="1320"/>
      <c r="BV145" s="1320"/>
      <c r="BW145" s="1320"/>
      <c r="BX145" s="1320"/>
      <c r="BY145" s="1320"/>
      <c r="BZ145" s="1320"/>
      <c r="CA145" s="1320"/>
      <c r="CB145" s="1320"/>
      <c r="CC145" s="1320"/>
      <c r="CD145" s="1320"/>
      <c r="CE145" s="1320"/>
      <c r="CF145" s="1320"/>
      <c r="CG145" s="1320"/>
      <c r="CH145" s="1320"/>
      <c r="CI145" s="1320"/>
      <c r="CJ145" s="1320"/>
      <c r="CK145" s="1320"/>
      <c r="CL145" s="1320"/>
      <c r="CM145" s="1320"/>
      <c r="CN145" s="1320"/>
      <c r="CO145" s="1320"/>
      <c r="CP145" s="1320"/>
      <c r="CQ145" s="1320"/>
      <c r="CR145" s="1320"/>
      <c r="CS145" s="1320"/>
      <c r="CT145" s="1320"/>
      <c r="CU145" s="1320"/>
      <c r="CV145" s="1320"/>
      <c r="CW145" s="1320"/>
      <c r="CX145" s="1320"/>
      <c r="CY145" s="1320"/>
      <c r="CZ145" s="1320"/>
      <c r="DA145" s="1320"/>
      <c r="DB145" s="1320"/>
      <c r="DC145" s="1320"/>
      <c r="DD145" s="1320"/>
      <c r="DE145" s="1320"/>
      <c r="DF145" s="1320"/>
      <c r="DG145" s="1320"/>
      <c r="DH145" s="1320"/>
      <c r="DI145" s="1320"/>
      <c r="DJ145" s="1320"/>
      <c r="DK145" s="1320"/>
      <c r="DL145" s="1320"/>
      <c r="DM145" s="1320"/>
      <c r="DN145" s="1320"/>
      <c r="DO145" s="1320"/>
      <c r="DP145" s="1320"/>
      <c r="DQ145" s="1320"/>
      <c r="DR145" s="1320"/>
      <c r="DS145" s="1320"/>
      <c r="DT145" s="1320"/>
      <c r="DU145" s="1320"/>
    </row>
    <row r="146" spans="1:125" s="592" customFormat="1" ht="16.5" customHeight="1">
      <c r="A146" s="717" t="s">
        <v>711</v>
      </c>
      <c r="B146" s="1062" t="s">
        <v>2380</v>
      </c>
      <c r="C146" s="1420" t="s">
        <v>2508</v>
      </c>
      <c r="D146" s="740"/>
      <c r="E146" s="973"/>
      <c r="F146" s="969"/>
      <c r="G146" s="782"/>
      <c r="H146" s="973"/>
      <c r="I146" s="973"/>
      <c r="J146" s="973"/>
      <c r="K146" s="973"/>
      <c r="L146" s="973"/>
      <c r="M146" s="973"/>
      <c r="N146" s="774"/>
      <c r="O146" s="775"/>
      <c r="P146" s="711"/>
      <c r="Q146" s="1320"/>
      <c r="R146" s="1320"/>
      <c r="S146" s="1320"/>
      <c r="T146" s="1320"/>
      <c r="U146" s="1320"/>
      <c r="V146" s="1320"/>
      <c r="W146" s="1320"/>
      <c r="X146" s="1320"/>
      <c r="Y146" s="1320"/>
      <c r="Z146" s="1320"/>
      <c r="AA146" s="1320"/>
      <c r="AB146" s="1320"/>
      <c r="AC146" s="1320"/>
      <c r="AD146" s="1320"/>
      <c r="AE146" s="1320"/>
      <c r="AF146" s="1320"/>
      <c r="AG146" s="1320"/>
      <c r="AH146" s="1320"/>
      <c r="AI146" s="1320"/>
      <c r="AJ146" s="1320"/>
      <c r="AK146" s="1320"/>
      <c r="AL146" s="1320"/>
      <c r="AM146" s="1320"/>
      <c r="AN146" s="1320"/>
      <c r="AO146" s="1320"/>
      <c r="AP146" s="1320"/>
      <c r="AQ146" s="1320"/>
      <c r="AR146" s="1320"/>
      <c r="AS146" s="1320"/>
      <c r="AT146" s="1320"/>
      <c r="AU146" s="1320"/>
      <c r="AV146" s="1320"/>
      <c r="AW146" s="1320"/>
      <c r="AX146" s="1320"/>
      <c r="AY146" s="1320"/>
      <c r="AZ146" s="1320"/>
      <c r="BA146" s="1320"/>
      <c r="BB146" s="1320"/>
      <c r="BC146" s="1320"/>
      <c r="BD146" s="1320"/>
      <c r="BE146" s="1320"/>
      <c r="BF146" s="1320"/>
      <c r="BG146" s="1320"/>
      <c r="BH146" s="1320"/>
      <c r="BI146" s="1320"/>
      <c r="BJ146" s="1320"/>
      <c r="BK146" s="1320"/>
      <c r="BL146" s="1320"/>
      <c r="BM146" s="1320"/>
      <c r="BN146" s="1320"/>
      <c r="BO146" s="1320"/>
      <c r="BP146" s="1320"/>
      <c r="BQ146" s="1320"/>
      <c r="BR146" s="1320"/>
      <c r="BS146" s="1320"/>
      <c r="BT146" s="1320"/>
      <c r="BU146" s="1320"/>
      <c r="BV146" s="1320"/>
      <c r="BW146" s="1320"/>
      <c r="BX146" s="1320"/>
      <c r="BY146" s="1320"/>
      <c r="BZ146" s="1320"/>
      <c r="CA146" s="1320"/>
      <c r="CB146" s="1320"/>
      <c r="CC146" s="1320"/>
      <c r="CD146" s="1320"/>
      <c r="CE146" s="1320"/>
      <c r="CF146" s="1320"/>
      <c r="CG146" s="1320"/>
      <c r="CH146" s="1320"/>
      <c r="CI146" s="1320"/>
      <c r="CJ146" s="1320"/>
      <c r="CK146" s="1320"/>
      <c r="CL146" s="1320"/>
      <c r="CM146" s="1320"/>
      <c r="CN146" s="1320"/>
      <c r="CO146" s="1320"/>
      <c r="CP146" s="1320"/>
      <c r="CQ146" s="1320"/>
      <c r="CR146" s="1320"/>
      <c r="CS146" s="1320"/>
      <c r="CT146" s="1320"/>
      <c r="CU146" s="1320"/>
      <c r="CV146" s="1320"/>
      <c r="CW146" s="1320"/>
      <c r="CX146" s="1320"/>
      <c r="CY146" s="1320"/>
      <c r="CZ146" s="1320"/>
      <c r="DA146" s="1320"/>
      <c r="DB146" s="1320"/>
      <c r="DC146" s="1320"/>
      <c r="DD146" s="1320"/>
      <c r="DE146" s="1320"/>
      <c r="DF146" s="1320"/>
      <c r="DG146" s="1320"/>
      <c r="DH146" s="1320"/>
      <c r="DI146" s="1320"/>
      <c r="DJ146" s="1320"/>
      <c r="DK146" s="1320"/>
      <c r="DL146" s="1320"/>
      <c r="DM146" s="1320"/>
      <c r="DN146" s="1320"/>
      <c r="DO146" s="1320"/>
      <c r="DP146" s="1320"/>
      <c r="DQ146" s="1320"/>
      <c r="DR146" s="1320"/>
      <c r="DS146" s="1320"/>
      <c r="DT146" s="1320"/>
      <c r="DU146" s="1320"/>
    </row>
    <row r="147" spans="1:125" s="592" customFormat="1">
      <c r="A147" s="714" t="s">
        <v>445</v>
      </c>
      <c r="B147" s="665" t="s">
        <v>2381</v>
      </c>
      <c r="C147" s="1421"/>
      <c r="D147" s="737" t="s">
        <v>11</v>
      </c>
      <c r="E147" s="973"/>
      <c r="F147" s="969"/>
      <c r="G147" s="782"/>
      <c r="H147" s="782"/>
      <c r="I147" s="973"/>
      <c r="J147" s="973"/>
      <c r="K147" s="973">
        <v>2302</v>
      </c>
      <c r="L147" s="973"/>
      <c r="M147" s="973">
        <v>2230</v>
      </c>
      <c r="N147" s="774">
        <f t="shared" ref="N147:N155" si="17">SUM(E147:M147)</f>
        <v>4532</v>
      </c>
      <c r="O147" s="771"/>
      <c r="P147" s="711">
        <f t="shared" si="16"/>
        <v>0</v>
      </c>
      <c r="Q147" s="1320"/>
      <c r="R147" s="1320"/>
      <c r="S147" s="1320"/>
      <c r="T147" s="1320"/>
      <c r="U147" s="1320"/>
      <c r="V147" s="1320"/>
      <c r="W147" s="1320"/>
      <c r="X147" s="1320"/>
      <c r="Y147" s="1320"/>
      <c r="Z147" s="1320"/>
      <c r="AA147" s="1320"/>
      <c r="AB147" s="1320"/>
      <c r="AC147" s="1320"/>
      <c r="AD147" s="1320"/>
      <c r="AE147" s="1320"/>
      <c r="AF147" s="1320"/>
      <c r="AG147" s="1320"/>
      <c r="AH147" s="1320"/>
      <c r="AI147" s="1320"/>
      <c r="AJ147" s="1320"/>
      <c r="AK147" s="1320"/>
      <c r="AL147" s="1320"/>
      <c r="AM147" s="1320"/>
      <c r="AN147" s="1320"/>
      <c r="AO147" s="1320"/>
      <c r="AP147" s="1320"/>
      <c r="AQ147" s="1320"/>
      <c r="AR147" s="1320"/>
      <c r="AS147" s="1320"/>
      <c r="AT147" s="1320"/>
      <c r="AU147" s="1320"/>
      <c r="AV147" s="1320"/>
      <c r="AW147" s="1320"/>
      <c r="AX147" s="1320"/>
      <c r="AY147" s="1320"/>
      <c r="AZ147" s="1320"/>
      <c r="BA147" s="1320"/>
      <c r="BB147" s="1320"/>
      <c r="BC147" s="1320"/>
      <c r="BD147" s="1320"/>
      <c r="BE147" s="1320"/>
      <c r="BF147" s="1320"/>
      <c r="BG147" s="1320"/>
      <c r="BH147" s="1320"/>
      <c r="BI147" s="1320"/>
      <c r="BJ147" s="1320"/>
      <c r="BK147" s="1320"/>
      <c r="BL147" s="1320"/>
      <c r="BM147" s="1320"/>
      <c r="BN147" s="1320"/>
      <c r="BO147" s="1320"/>
      <c r="BP147" s="1320"/>
      <c r="BQ147" s="1320"/>
      <c r="BR147" s="1320"/>
      <c r="BS147" s="1320"/>
      <c r="BT147" s="1320"/>
      <c r="BU147" s="1320"/>
      <c r="BV147" s="1320"/>
      <c r="BW147" s="1320"/>
      <c r="BX147" s="1320"/>
      <c r="BY147" s="1320"/>
      <c r="BZ147" s="1320"/>
      <c r="CA147" s="1320"/>
      <c r="CB147" s="1320"/>
      <c r="CC147" s="1320"/>
      <c r="CD147" s="1320"/>
      <c r="CE147" s="1320"/>
      <c r="CF147" s="1320"/>
      <c r="CG147" s="1320"/>
      <c r="CH147" s="1320"/>
      <c r="CI147" s="1320"/>
      <c r="CJ147" s="1320"/>
      <c r="CK147" s="1320"/>
      <c r="CL147" s="1320"/>
      <c r="CM147" s="1320"/>
      <c r="CN147" s="1320"/>
      <c r="CO147" s="1320"/>
      <c r="CP147" s="1320"/>
      <c r="CQ147" s="1320"/>
      <c r="CR147" s="1320"/>
      <c r="CS147" s="1320"/>
      <c r="CT147" s="1320"/>
      <c r="CU147" s="1320"/>
      <c r="CV147" s="1320"/>
      <c r="CW147" s="1320"/>
      <c r="CX147" s="1320"/>
      <c r="CY147" s="1320"/>
      <c r="CZ147" s="1320"/>
      <c r="DA147" s="1320"/>
      <c r="DB147" s="1320"/>
      <c r="DC147" s="1320"/>
      <c r="DD147" s="1320"/>
      <c r="DE147" s="1320"/>
      <c r="DF147" s="1320"/>
      <c r="DG147" s="1320"/>
      <c r="DH147" s="1320"/>
      <c r="DI147" s="1320"/>
      <c r="DJ147" s="1320"/>
      <c r="DK147" s="1320"/>
      <c r="DL147" s="1320"/>
      <c r="DM147" s="1320"/>
      <c r="DN147" s="1320"/>
      <c r="DO147" s="1320"/>
      <c r="DP147" s="1320"/>
      <c r="DQ147" s="1320"/>
      <c r="DR147" s="1320"/>
      <c r="DS147" s="1320"/>
      <c r="DT147" s="1320"/>
      <c r="DU147" s="1320"/>
    </row>
    <row r="148" spans="1:125">
      <c r="A148" s="714" t="s">
        <v>728</v>
      </c>
      <c r="B148" s="665" t="s">
        <v>1105</v>
      </c>
      <c r="C148" s="1421"/>
      <c r="D148" s="737" t="s">
        <v>11</v>
      </c>
      <c r="E148" s="782">
        <v>155.27000000000001</v>
      </c>
      <c r="F148" s="972"/>
      <c r="G148" s="782"/>
      <c r="H148" s="974"/>
      <c r="I148" s="974"/>
      <c r="J148" s="974"/>
      <c r="K148" s="974"/>
      <c r="L148" s="974"/>
      <c r="M148" s="974"/>
      <c r="N148" s="774">
        <f t="shared" si="17"/>
        <v>155.27000000000001</v>
      </c>
      <c r="O148" s="771"/>
      <c r="P148" s="711">
        <f t="shared" si="16"/>
        <v>0</v>
      </c>
    </row>
    <row r="149" spans="1:125" ht="13.5" customHeight="1">
      <c r="A149" s="714" t="s">
        <v>1352</v>
      </c>
      <c r="B149" s="665" t="s">
        <v>2385</v>
      </c>
      <c r="C149" s="1421"/>
      <c r="D149" s="737" t="s">
        <v>11</v>
      </c>
      <c r="E149" s="782">
        <v>497.09</v>
      </c>
      <c r="F149" s="969">
        <v>281.23</v>
      </c>
      <c r="G149" s="782">
        <v>400.66</v>
      </c>
      <c r="H149" s="974">
        <v>8</v>
      </c>
      <c r="I149" s="974"/>
      <c r="J149" s="974"/>
      <c r="K149" s="974"/>
      <c r="L149" s="974"/>
      <c r="M149" s="974"/>
      <c r="N149" s="774">
        <f t="shared" si="17"/>
        <v>1186.98</v>
      </c>
      <c r="O149" s="771"/>
      <c r="P149" s="711">
        <f t="shared" si="16"/>
        <v>0</v>
      </c>
    </row>
    <row r="150" spans="1:125" s="592" customFormat="1" ht="16.5" customHeight="1">
      <c r="A150" s="717" t="s">
        <v>375</v>
      </c>
      <c r="B150" s="1062" t="s">
        <v>2384</v>
      </c>
      <c r="C150" s="1420" t="s">
        <v>2510</v>
      </c>
      <c r="D150" s="740"/>
      <c r="E150" s="973"/>
      <c r="F150" s="969"/>
      <c r="G150" s="782"/>
      <c r="H150" s="973"/>
      <c r="I150" s="973"/>
      <c r="J150" s="973"/>
      <c r="K150" s="973"/>
      <c r="L150" s="973"/>
      <c r="M150" s="973"/>
      <c r="N150" s="774"/>
      <c r="O150" s="775"/>
      <c r="P150" s="711"/>
      <c r="Q150" s="1320"/>
      <c r="R150" s="1320"/>
      <c r="S150" s="1320"/>
      <c r="T150" s="1320"/>
      <c r="U150" s="1320"/>
      <c r="V150" s="1320"/>
      <c r="W150" s="1320"/>
      <c r="X150" s="1320"/>
      <c r="Y150" s="1320"/>
      <c r="Z150" s="1320"/>
      <c r="AA150" s="1320"/>
      <c r="AB150" s="1320"/>
      <c r="AC150" s="1320"/>
      <c r="AD150" s="1320"/>
      <c r="AE150" s="1320"/>
      <c r="AF150" s="1320"/>
      <c r="AG150" s="1320"/>
      <c r="AH150" s="1320"/>
      <c r="AI150" s="1320"/>
      <c r="AJ150" s="1320"/>
      <c r="AK150" s="1320"/>
      <c r="AL150" s="1320"/>
      <c r="AM150" s="1320"/>
      <c r="AN150" s="1320"/>
      <c r="AO150" s="1320"/>
      <c r="AP150" s="1320"/>
      <c r="AQ150" s="1320"/>
      <c r="AR150" s="1320"/>
      <c r="AS150" s="1320"/>
      <c r="AT150" s="1320"/>
      <c r="AU150" s="1320"/>
      <c r="AV150" s="1320"/>
      <c r="AW150" s="1320"/>
      <c r="AX150" s="1320"/>
      <c r="AY150" s="1320"/>
      <c r="AZ150" s="1320"/>
      <c r="BA150" s="1320"/>
      <c r="BB150" s="1320"/>
      <c r="BC150" s="1320"/>
      <c r="BD150" s="1320"/>
      <c r="BE150" s="1320"/>
      <c r="BF150" s="1320"/>
      <c r="BG150" s="1320"/>
      <c r="BH150" s="1320"/>
      <c r="BI150" s="1320"/>
      <c r="BJ150" s="1320"/>
      <c r="BK150" s="1320"/>
      <c r="BL150" s="1320"/>
      <c r="BM150" s="1320"/>
      <c r="BN150" s="1320"/>
      <c r="BO150" s="1320"/>
      <c r="BP150" s="1320"/>
      <c r="BQ150" s="1320"/>
      <c r="BR150" s="1320"/>
      <c r="BS150" s="1320"/>
      <c r="BT150" s="1320"/>
      <c r="BU150" s="1320"/>
      <c r="BV150" s="1320"/>
      <c r="BW150" s="1320"/>
      <c r="BX150" s="1320"/>
      <c r="BY150" s="1320"/>
      <c r="BZ150" s="1320"/>
      <c r="CA150" s="1320"/>
      <c r="CB150" s="1320"/>
      <c r="CC150" s="1320"/>
      <c r="CD150" s="1320"/>
      <c r="CE150" s="1320"/>
      <c r="CF150" s="1320"/>
      <c r="CG150" s="1320"/>
      <c r="CH150" s="1320"/>
      <c r="CI150" s="1320"/>
      <c r="CJ150" s="1320"/>
      <c r="CK150" s="1320"/>
      <c r="CL150" s="1320"/>
      <c r="CM150" s="1320"/>
      <c r="CN150" s="1320"/>
      <c r="CO150" s="1320"/>
      <c r="CP150" s="1320"/>
      <c r="CQ150" s="1320"/>
      <c r="CR150" s="1320"/>
      <c r="CS150" s="1320"/>
      <c r="CT150" s="1320"/>
      <c r="CU150" s="1320"/>
      <c r="CV150" s="1320"/>
      <c r="CW150" s="1320"/>
      <c r="CX150" s="1320"/>
      <c r="CY150" s="1320"/>
      <c r="CZ150" s="1320"/>
      <c r="DA150" s="1320"/>
      <c r="DB150" s="1320"/>
      <c r="DC150" s="1320"/>
      <c r="DD150" s="1320"/>
      <c r="DE150" s="1320"/>
      <c r="DF150" s="1320"/>
      <c r="DG150" s="1320"/>
      <c r="DH150" s="1320"/>
      <c r="DI150" s="1320"/>
      <c r="DJ150" s="1320"/>
      <c r="DK150" s="1320"/>
      <c r="DL150" s="1320"/>
      <c r="DM150" s="1320"/>
      <c r="DN150" s="1320"/>
      <c r="DO150" s="1320"/>
      <c r="DP150" s="1320"/>
      <c r="DQ150" s="1320"/>
      <c r="DR150" s="1320"/>
      <c r="DS150" s="1320"/>
      <c r="DT150" s="1320"/>
      <c r="DU150" s="1320"/>
    </row>
    <row r="151" spans="1:125">
      <c r="A151" s="714" t="s">
        <v>1353</v>
      </c>
      <c r="B151" s="665" t="s">
        <v>2382</v>
      </c>
      <c r="C151" s="1421"/>
      <c r="D151" s="737" t="s">
        <v>11</v>
      </c>
      <c r="E151" s="782">
        <v>717.33</v>
      </c>
      <c r="F151" s="972"/>
      <c r="G151" s="782">
        <v>183.8</v>
      </c>
      <c r="H151" s="974"/>
      <c r="I151" s="974"/>
      <c r="J151" s="974"/>
      <c r="K151" s="974"/>
      <c r="L151" s="974"/>
      <c r="M151" s="974"/>
      <c r="N151" s="774">
        <f t="shared" si="17"/>
        <v>901.13000000000011</v>
      </c>
      <c r="O151" s="771"/>
      <c r="P151" s="711">
        <f t="shared" si="16"/>
        <v>0</v>
      </c>
    </row>
    <row r="152" spans="1:125">
      <c r="A152" s="714" t="s">
        <v>1354</v>
      </c>
      <c r="B152" s="665" t="s">
        <v>2383</v>
      </c>
      <c r="C152" s="1421"/>
      <c r="D152" s="737" t="s">
        <v>11</v>
      </c>
      <c r="E152" s="782">
        <v>535.62</v>
      </c>
      <c r="F152" s="972">
        <v>1137.8699999999999</v>
      </c>
      <c r="G152" s="782">
        <v>294.26</v>
      </c>
      <c r="H152" s="974"/>
      <c r="I152" s="974"/>
      <c r="J152" s="974"/>
      <c r="K152" s="974"/>
      <c r="L152" s="974"/>
      <c r="M152" s="974"/>
      <c r="N152" s="774">
        <f t="shared" si="17"/>
        <v>1967.7499999999998</v>
      </c>
      <c r="O152" s="771"/>
      <c r="P152" s="711">
        <f t="shared" si="16"/>
        <v>0</v>
      </c>
    </row>
    <row r="153" spans="1:125">
      <c r="A153" s="714" t="s">
        <v>1355</v>
      </c>
      <c r="B153" s="665" t="s">
        <v>1108</v>
      </c>
      <c r="C153" s="1421"/>
      <c r="D153" s="737" t="s">
        <v>11</v>
      </c>
      <c r="E153" s="782">
        <v>878.88</v>
      </c>
      <c r="F153" s="782">
        <v>997.93</v>
      </c>
      <c r="G153" s="782">
        <v>290.39</v>
      </c>
      <c r="H153" s="968"/>
      <c r="I153" s="968"/>
      <c r="J153" s="968"/>
      <c r="K153" s="968"/>
      <c r="L153" s="968"/>
      <c r="M153" s="968"/>
      <c r="N153" s="774">
        <f t="shared" si="17"/>
        <v>2167.1999999999998</v>
      </c>
      <c r="O153" s="771"/>
      <c r="P153" s="711">
        <f t="shared" ref="P153:P202" si="18">N153*O153</f>
        <v>0</v>
      </c>
    </row>
    <row r="154" spans="1:125">
      <c r="A154" s="714" t="s">
        <v>1356</v>
      </c>
      <c r="B154" s="665" t="s">
        <v>513</v>
      </c>
      <c r="C154" s="1421"/>
      <c r="D154" s="737" t="s">
        <v>11</v>
      </c>
      <c r="E154" s="782">
        <v>411.26</v>
      </c>
      <c r="F154" s="782">
        <v>473.93</v>
      </c>
      <c r="G154" s="782">
        <v>338.28</v>
      </c>
      <c r="H154" s="968"/>
      <c r="I154" s="968"/>
      <c r="J154" s="968"/>
      <c r="K154" s="968"/>
      <c r="L154" s="968"/>
      <c r="M154" s="968"/>
      <c r="N154" s="774">
        <f t="shared" si="17"/>
        <v>1223.47</v>
      </c>
      <c r="O154" s="771"/>
      <c r="P154" s="711">
        <f t="shared" si="18"/>
        <v>0</v>
      </c>
    </row>
    <row r="155" spans="1:125">
      <c r="A155" s="714" t="s">
        <v>1357</v>
      </c>
      <c r="B155" s="665" t="s">
        <v>496</v>
      </c>
      <c r="C155" s="1421"/>
      <c r="D155" s="737" t="s">
        <v>11</v>
      </c>
      <c r="E155" s="973">
        <v>698.39</v>
      </c>
      <c r="F155" s="973">
        <v>528.71</v>
      </c>
      <c r="G155" s="973"/>
      <c r="H155" s="968"/>
      <c r="I155" s="968"/>
      <c r="J155" s="968"/>
      <c r="K155" s="968"/>
      <c r="L155" s="968"/>
      <c r="M155" s="968"/>
      <c r="N155" s="774">
        <f t="shared" si="17"/>
        <v>1227.0999999999999</v>
      </c>
      <c r="O155" s="771"/>
      <c r="P155" s="711">
        <f t="shared" si="18"/>
        <v>0</v>
      </c>
    </row>
    <row r="156" spans="1:125" s="592" customFormat="1" ht="16.5" customHeight="1">
      <c r="A156" s="717" t="s">
        <v>375</v>
      </c>
      <c r="B156" s="1062" t="s">
        <v>2509</v>
      </c>
      <c r="C156" s="1420" t="s">
        <v>2511</v>
      </c>
      <c r="D156" s="740"/>
      <c r="E156" s="973"/>
      <c r="F156" s="973"/>
      <c r="G156" s="973"/>
      <c r="H156" s="782"/>
      <c r="I156" s="782"/>
      <c r="J156" s="782"/>
      <c r="K156" s="782"/>
      <c r="L156" s="782"/>
      <c r="M156" s="782"/>
      <c r="N156" s="774"/>
      <c r="O156" s="775"/>
      <c r="P156" s="711"/>
      <c r="Q156" s="1320"/>
      <c r="R156" s="1320"/>
      <c r="S156" s="1320"/>
      <c r="T156" s="1320"/>
      <c r="U156" s="1320"/>
      <c r="V156" s="1320"/>
      <c r="W156" s="1320"/>
      <c r="X156" s="1320"/>
      <c r="Y156" s="1320"/>
      <c r="Z156" s="1320"/>
      <c r="AA156" s="1320"/>
      <c r="AB156" s="1320"/>
      <c r="AC156" s="1320"/>
      <c r="AD156" s="1320"/>
      <c r="AE156" s="1320"/>
      <c r="AF156" s="1320"/>
      <c r="AG156" s="1320"/>
      <c r="AH156" s="1320"/>
      <c r="AI156" s="1320"/>
      <c r="AJ156" s="1320"/>
      <c r="AK156" s="1320"/>
      <c r="AL156" s="1320"/>
      <c r="AM156" s="1320"/>
      <c r="AN156" s="1320"/>
      <c r="AO156" s="1320"/>
      <c r="AP156" s="1320"/>
      <c r="AQ156" s="1320"/>
      <c r="AR156" s="1320"/>
      <c r="AS156" s="1320"/>
      <c r="AT156" s="1320"/>
      <c r="AU156" s="1320"/>
      <c r="AV156" s="1320"/>
      <c r="AW156" s="1320"/>
      <c r="AX156" s="1320"/>
      <c r="AY156" s="1320"/>
      <c r="AZ156" s="1320"/>
      <c r="BA156" s="1320"/>
      <c r="BB156" s="1320"/>
      <c r="BC156" s="1320"/>
      <c r="BD156" s="1320"/>
      <c r="BE156" s="1320"/>
      <c r="BF156" s="1320"/>
      <c r="BG156" s="1320"/>
      <c r="BH156" s="1320"/>
      <c r="BI156" s="1320"/>
      <c r="BJ156" s="1320"/>
      <c r="BK156" s="1320"/>
      <c r="BL156" s="1320"/>
      <c r="BM156" s="1320"/>
      <c r="BN156" s="1320"/>
      <c r="BO156" s="1320"/>
      <c r="BP156" s="1320"/>
      <c r="BQ156" s="1320"/>
      <c r="BR156" s="1320"/>
      <c r="BS156" s="1320"/>
      <c r="BT156" s="1320"/>
      <c r="BU156" s="1320"/>
      <c r="BV156" s="1320"/>
      <c r="BW156" s="1320"/>
      <c r="BX156" s="1320"/>
      <c r="BY156" s="1320"/>
      <c r="BZ156" s="1320"/>
      <c r="CA156" s="1320"/>
      <c r="CB156" s="1320"/>
      <c r="CC156" s="1320"/>
      <c r="CD156" s="1320"/>
      <c r="CE156" s="1320"/>
      <c r="CF156" s="1320"/>
      <c r="CG156" s="1320"/>
      <c r="CH156" s="1320"/>
      <c r="CI156" s="1320"/>
      <c r="CJ156" s="1320"/>
      <c r="CK156" s="1320"/>
      <c r="CL156" s="1320"/>
      <c r="CM156" s="1320"/>
      <c r="CN156" s="1320"/>
      <c r="CO156" s="1320"/>
      <c r="CP156" s="1320"/>
      <c r="CQ156" s="1320"/>
      <c r="CR156" s="1320"/>
      <c r="CS156" s="1320"/>
      <c r="CT156" s="1320"/>
      <c r="CU156" s="1320"/>
      <c r="CV156" s="1320"/>
      <c r="CW156" s="1320"/>
      <c r="CX156" s="1320"/>
      <c r="CY156" s="1320"/>
      <c r="CZ156" s="1320"/>
      <c r="DA156" s="1320"/>
      <c r="DB156" s="1320"/>
      <c r="DC156" s="1320"/>
      <c r="DD156" s="1320"/>
      <c r="DE156" s="1320"/>
      <c r="DF156" s="1320"/>
      <c r="DG156" s="1320"/>
      <c r="DH156" s="1320"/>
      <c r="DI156" s="1320"/>
      <c r="DJ156" s="1320"/>
      <c r="DK156" s="1320"/>
      <c r="DL156" s="1320"/>
      <c r="DM156" s="1320"/>
      <c r="DN156" s="1320"/>
      <c r="DO156" s="1320"/>
      <c r="DP156" s="1320"/>
      <c r="DQ156" s="1320"/>
      <c r="DR156" s="1320"/>
      <c r="DS156" s="1320"/>
      <c r="DT156" s="1320"/>
      <c r="DU156" s="1320"/>
    </row>
    <row r="157" spans="1:125" s="1338" customFormat="1">
      <c r="A157" s="1351" t="s">
        <v>2544</v>
      </c>
      <c r="B157" s="1344" t="s">
        <v>2547</v>
      </c>
      <c r="C157" s="1327"/>
      <c r="D157" s="1353" t="s">
        <v>11</v>
      </c>
      <c r="E157" s="1365">
        <v>20</v>
      </c>
      <c r="F157" s="1365">
        <v>20</v>
      </c>
      <c r="G157" s="1401">
        <v>20</v>
      </c>
      <c r="H157" s="1401">
        <v>20</v>
      </c>
      <c r="I157" s="1399">
        <v>20</v>
      </c>
      <c r="J157" s="1399">
        <v>20</v>
      </c>
      <c r="K157" s="1399">
        <v>20</v>
      </c>
      <c r="L157" s="1399">
        <v>20</v>
      </c>
      <c r="M157" s="1399">
        <v>20</v>
      </c>
      <c r="N157" s="1363">
        <f t="shared" ref="N157" si="19">SUM(E157:M157)</f>
        <v>180</v>
      </c>
      <c r="O157" s="1362"/>
      <c r="P157" s="1347">
        <f t="shared" ref="P157" si="20">N157*O157</f>
        <v>0</v>
      </c>
      <c r="Q157" s="1343"/>
      <c r="R157" s="1343"/>
      <c r="S157" s="1343"/>
      <c r="T157" s="1343"/>
      <c r="U157" s="1343"/>
      <c r="V157" s="1343"/>
      <c r="W157" s="1343"/>
      <c r="X157" s="1343"/>
      <c r="Y157" s="1343"/>
      <c r="Z157" s="1343"/>
      <c r="AA157" s="1343"/>
      <c r="AB157" s="1343"/>
      <c r="AC157" s="1343"/>
      <c r="AD157" s="1343"/>
      <c r="AE157" s="1343"/>
      <c r="AF157" s="1343"/>
      <c r="AG157" s="1343"/>
      <c r="AH157" s="1343"/>
      <c r="AI157" s="1343"/>
      <c r="AJ157" s="1343"/>
      <c r="AK157" s="1343"/>
      <c r="AL157" s="1343"/>
      <c r="AM157" s="1343"/>
      <c r="AN157" s="1343"/>
      <c r="AO157" s="1343"/>
      <c r="AP157" s="1343"/>
      <c r="AQ157" s="1343"/>
      <c r="AR157" s="1343"/>
      <c r="AS157" s="1343"/>
      <c r="AT157" s="1343"/>
      <c r="AU157" s="1343"/>
      <c r="AV157" s="1343"/>
      <c r="AW157" s="1343"/>
      <c r="AX157" s="1343"/>
      <c r="AY157" s="1343"/>
      <c r="AZ157" s="1343"/>
      <c r="BA157" s="1343"/>
      <c r="BB157" s="1343"/>
      <c r="BC157" s="1343"/>
      <c r="BD157" s="1343"/>
      <c r="BE157" s="1343"/>
      <c r="BF157" s="1343"/>
      <c r="BG157" s="1343"/>
      <c r="BH157" s="1343"/>
      <c r="BI157" s="1343"/>
      <c r="BJ157" s="1343"/>
      <c r="BK157" s="1343"/>
      <c r="BL157" s="1343"/>
      <c r="BM157" s="1343"/>
      <c r="BN157" s="1343"/>
      <c r="BO157" s="1343"/>
      <c r="BP157" s="1343"/>
      <c r="BQ157" s="1343"/>
      <c r="BR157" s="1343"/>
      <c r="BS157" s="1343"/>
      <c r="BT157" s="1343"/>
      <c r="BU157" s="1343"/>
      <c r="BV157" s="1343"/>
      <c r="BW157" s="1343"/>
      <c r="BX157" s="1343"/>
      <c r="BY157" s="1343"/>
      <c r="BZ157" s="1343"/>
      <c r="CA157" s="1343"/>
      <c r="CB157" s="1343"/>
      <c r="CC157" s="1343"/>
      <c r="CD157" s="1343"/>
      <c r="CE157" s="1343"/>
      <c r="CF157" s="1343"/>
      <c r="CG157" s="1343"/>
      <c r="CH157" s="1343"/>
      <c r="CI157" s="1343"/>
      <c r="CJ157" s="1343"/>
      <c r="CK157" s="1343"/>
      <c r="CL157" s="1343"/>
      <c r="CM157" s="1343"/>
      <c r="CN157" s="1343"/>
      <c r="CO157" s="1343"/>
      <c r="CP157" s="1343"/>
      <c r="CQ157" s="1343"/>
      <c r="CR157" s="1343"/>
      <c r="CS157" s="1343"/>
      <c r="CT157" s="1343"/>
      <c r="CU157" s="1343"/>
      <c r="CV157" s="1343"/>
      <c r="CW157" s="1343"/>
      <c r="CX157" s="1343"/>
      <c r="CY157" s="1343"/>
      <c r="CZ157" s="1343"/>
      <c r="DA157" s="1343"/>
      <c r="DB157" s="1343"/>
      <c r="DC157" s="1343"/>
      <c r="DD157" s="1343"/>
      <c r="DE157" s="1343"/>
      <c r="DF157" s="1343"/>
      <c r="DG157" s="1343"/>
      <c r="DH157" s="1343"/>
      <c r="DI157" s="1343"/>
      <c r="DJ157" s="1343"/>
      <c r="DK157" s="1343"/>
      <c r="DL157" s="1343"/>
      <c r="DM157" s="1343"/>
      <c r="DN157" s="1343"/>
      <c r="DO157" s="1343"/>
      <c r="DP157" s="1343"/>
      <c r="DQ157" s="1343"/>
      <c r="DR157" s="1343"/>
      <c r="DS157" s="1343"/>
      <c r="DT157" s="1343"/>
      <c r="DU157" s="1343"/>
    </row>
    <row r="158" spans="1:125">
      <c r="A158" s="1351" t="s">
        <v>2545</v>
      </c>
      <c r="B158" s="665" t="s">
        <v>2381</v>
      </c>
      <c r="C158" s="1327"/>
      <c r="D158" s="737" t="s">
        <v>11</v>
      </c>
      <c r="E158" s="782"/>
      <c r="F158" s="782"/>
      <c r="G158" s="973"/>
      <c r="H158" s="973">
        <v>8316</v>
      </c>
      <c r="I158" s="968">
        <v>466</v>
      </c>
      <c r="J158" s="968">
        <v>4663</v>
      </c>
      <c r="K158" s="968">
        <v>10148</v>
      </c>
      <c r="L158" s="968">
        <v>2047</v>
      </c>
      <c r="M158" s="968">
        <v>14294</v>
      </c>
      <c r="N158" s="774">
        <f>SUM(E158:M158)</f>
        <v>39934</v>
      </c>
      <c r="O158" s="771"/>
      <c r="P158" s="711">
        <f t="shared" si="18"/>
        <v>0</v>
      </c>
    </row>
    <row r="159" spans="1:125">
      <c r="A159" s="1351" t="s">
        <v>2546</v>
      </c>
      <c r="B159" s="665" t="s">
        <v>1106</v>
      </c>
      <c r="C159" s="1327"/>
      <c r="D159" s="737" t="s">
        <v>11</v>
      </c>
      <c r="E159" s="782"/>
      <c r="F159" s="782"/>
      <c r="G159" s="973"/>
      <c r="H159" s="973">
        <v>8</v>
      </c>
      <c r="I159" s="968"/>
      <c r="J159" s="968"/>
      <c r="K159" s="968"/>
      <c r="L159" s="968"/>
      <c r="M159" s="968">
        <v>361</v>
      </c>
      <c r="N159" s="774">
        <f>SUM(E159:M159)</f>
        <v>369</v>
      </c>
      <c r="O159" s="771"/>
      <c r="P159" s="711">
        <f t="shared" ref="P159" si="21">N159*O159</f>
        <v>0</v>
      </c>
    </row>
    <row r="160" spans="1:125">
      <c r="A160" s="717" t="s">
        <v>680</v>
      </c>
      <c r="B160" s="1062" t="s">
        <v>2386</v>
      </c>
      <c r="C160" s="1325" t="s">
        <v>2512</v>
      </c>
      <c r="D160" s="702"/>
      <c r="E160" s="973"/>
      <c r="F160" s="973"/>
      <c r="G160" s="973"/>
      <c r="H160" s="968"/>
      <c r="I160" s="968"/>
      <c r="J160" s="968"/>
      <c r="K160" s="968"/>
      <c r="L160" s="968"/>
      <c r="M160" s="968"/>
      <c r="N160" s="774"/>
      <c r="O160" s="775"/>
      <c r="P160" s="711"/>
    </row>
    <row r="161" spans="1:125">
      <c r="A161" s="718" t="s">
        <v>681</v>
      </c>
      <c r="B161" s="665" t="s">
        <v>2387</v>
      </c>
      <c r="C161" s="1327"/>
      <c r="D161" s="737" t="s">
        <v>11</v>
      </c>
      <c r="E161" s="973"/>
      <c r="F161" s="973"/>
      <c r="G161" s="973"/>
      <c r="H161" s="968">
        <v>821</v>
      </c>
      <c r="I161" s="968">
        <v>334</v>
      </c>
      <c r="J161" s="968">
        <v>30.53</v>
      </c>
      <c r="K161" s="968">
        <v>2325</v>
      </c>
      <c r="L161" s="968">
        <v>121</v>
      </c>
      <c r="M161" s="968">
        <v>1707</v>
      </c>
      <c r="N161" s="774">
        <f>SUM(E161:M161)</f>
        <v>5338.53</v>
      </c>
      <c r="O161" s="771"/>
      <c r="P161" s="711">
        <f t="shared" si="18"/>
        <v>0</v>
      </c>
    </row>
    <row r="162" spans="1:125">
      <c r="A162" s="718" t="s">
        <v>682</v>
      </c>
      <c r="B162" s="665" t="s">
        <v>2388</v>
      </c>
      <c r="C162" s="1327"/>
      <c r="D162" s="737" t="s">
        <v>11</v>
      </c>
      <c r="E162" s="973"/>
      <c r="F162" s="973"/>
      <c r="G162" s="973"/>
      <c r="H162" s="968">
        <v>614</v>
      </c>
      <c r="I162" s="968"/>
      <c r="J162" s="968">
        <v>278.45</v>
      </c>
      <c r="K162" s="968">
        <v>1735</v>
      </c>
      <c r="L162" s="968"/>
      <c r="M162" s="968"/>
      <c r="N162" s="774">
        <f>SUM(E162:M162)</f>
        <v>2627.45</v>
      </c>
      <c r="O162" s="771"/>
      <c r="P162" s="711">
        <f t="shared" si="18"/>
        <v>0</v>
      </c>
    </row>
    <row r="163" spans="1:125">
      <c r="A163" s="718" t="s">
        <v>683</v>
      </c>
      <c r="B163" s="665" t="s">
        <v>2389</v>
      </c>
      <c r="C163" s="1327"/>
      <c r="D163" s="737" t="s">
        <v>11</v>
      </c>
      <c r="E163" s="973"/>
      <c r="F163" s="973"/>
      <c r="G163" s="973"/>
      <c r="H163" s="968"/>
      <c r="I163" s="968"/>
      <c r="J163" s="968"/>
      <c r="K163" s="968"/>
      <c r="L163" s="968">
        <v>481</v>
      </c>
      <c r="M163" s="968"/>
      <c r="N163" s="774">
        <f>SUM(E163:M163)</f>
        <v>481</v>
      </c>
      <c r="O163" s="771"/>
      <c r="P163" s="711">
        <f t="shared" si="18"/>
        <v>0</v>
      </c>
    </row>
    <row r="164" spans="1:125" s="592" customFormat="1" ht="16.5" customHeight="1">
      <c r="A164" s="717" t="s">
        <v>1358</v>
      </c>
      <c r="B164" s="1062" t="s">
        <v>2390</v>
      </c>
      <c r="C164" s="1420" t="s">
        <v>2536</v>
      </c>
      <c r="D164" s="740"/>
      <c r="E164" s="973"/>
      <c r="F164" s="973"/>
      <c r="G164" s="973"/>
      <c r="H164" s="782"/>
      <c r="I164" s="782"/>
      <c r="J164" s="782"/>
      <c r="K164" s="782"/>
      <c r="L164" s="782"/>
      <c r="M164" s="782"/>
      <c r="N164" s="774"/>
      <c r="O164" s="775"/>
      <c r="P164" s="711"/>
      <c r="Q164" s="1320"/>
      <c r="R164" s="1320"/>
      <c r="S164" s="1320"/>
      <c r="T164" s="1320"/>
      <c r="U164" s="1320"/>
      <c r="V164" s="1320"/>
      <c r="W164" s="1320"/>
      <c r="X164" s="1320"/>
      <c r="Y164" s="1320"/>
      <c r="Z164" s="1320"/>
      <c r="AA164" s="1320"/>
      <c r="AB164" s="1320"/>
      <c r="AC164" s="1320"/>
      <c r="AD164" s="1320"/>
      <c r="AE164" s="1320"/>
      <c r="AF164" s="1320"/>
      <c r="AG164" s="1320"/>
      <c r="AH164" s="1320"/>
      <c r="AI164" s="1320"/>
      <c r="AJ164" s="1320"/>
      <c r="AK164" s="1320"/>
      <c r="AL164" s="1320"/>
      <c r="AM164" s="1320"/>
      <c r="AN164" s="1320"/>
      <c r="AO164" s="1320"/>
      <c r="AP164" s="1320"/>
      <c r="AQ164" s="1320"/>
      <c r="AR164" s="1320"/>
      <c r="AS164" s="1320"/>
      <c r="AT164" s="1320"/>
      <c r="AU164" s="1320"/>
      <c r="AV164" s="1320"/>
      <c r="AW164" s="1320"/>
      <c r="AX164" s="1320"/>
      <c r="AY164" s="1320"/>
      <c r="AZ164" s="1320"/>
      <c r="BA164" s="1320"/>
      <c r="BB164" s="1320"/>
      <c r="BC164" s="1320"/>
      <c r="BD164" s="1320"/>
      <c r="BE164" s="1320"/>
      <c r="BF164" s="1320"/>
      <c r="BG164" s="1320"/>
      <c r="BH164" s="1320"/>
      <c r="BI164" s="1320"/>
      <c r="BJ164" s="1320"/>
      <c r="BK164" s="1320"/>
      <c r="BL164" s="1320"/>
      <c r="BM164" s="1320"/>
      <c r="BN164" s="1320"/>
      <c r="BO164" s="1320"/>
      <c r="BP164" s="1320"/>
      <c r="BQ164" s="1320"/>
      <c r="BR164" s="1320"/>
      <c r="BS164" s="1320"/>
      <c r="BT164" s="1320"/>
      <c r="BU164" s="1320"/>
      <c r="BV164" s="1320"/>
      <c r="BW164" s="1320"/>
      <c r="BX164" s="1320"/>
      <c r="BY164" s="1320"/>
      <c r="BZ164" s="1320"/>
      <c r="CA164" s="1320"/>
      <c r="CB164" s="1320"/>
      <c r="CC164" s="1320"/>
      <c r="CD164" s="1320"/>
      <c r="CE164" s="1320"/>
      <c r="CF164" s="1320"/>
      <c r="CG164" s="1320"/>
      <c r="CH164" s="1320"/>
      <c r="CI164" s="1320"/>
      <c r="CJ164" s="1320"/>
      <c r="CK164" s="1320"/>
      <c r="CL164" s="1320"/>
      <c r="CM164" s="1320"/>
      <c r="CN164" s="1320"/>
      <c r="CO164" s="1320"/>
      <c r="CP164" s="1320"/>
      <c r="CQ164" s="1320"/>
      <c r="CR164" s="1320"/>
      <c r="CS164" s="1320"/>
      <c r="CT164" s="1320"/>
      <c r="CU164" s="1320"/>
      <c r="CV164" s="1320"/>
      <c r="CW164" s="1320"/>
      <c r="CX164" s="1320"/>
      <c r="CY164" s="1320"/>
      <c r="CZ164" s="1320"/>
      <c r="DA164" s="1320"/>
      <c r="DB164" s="1320"/>
      <c r="DC164" s="1320"/>
      <c r="DD164" s="1320"/>
      <c r="DE164" s="1320"/>
      <c r="DF164" s="1320"/>
      <c r="DG164" s="1320"/>
      <c r="DH164" s="1320"/>
      <c r="DI164" s="1320"/>
      <c r="DJ164" s="1320"/>
      <c r="DK164" s="1320"/>
      <c r="DL164" s="1320"/>
      <c r="DM164" s="1320"/>
      <c r="DN164" s="1320"/>
      <c r="DO164" s="1320"/>
      <c r="DP164" s="1320"/>
      <c r="DQ164" s="1320"/>
      <c r="DR164" s="1320"/>
      <c r="DS164" s="1320"/>
      <c r="DT164" s="1320"/>
      <c r="DU164" s="1320"/>
    </row>
    <row r="165" spans="1:125">
      <c r="A165" s="718" t="s">
        <v>959</v>
      </c>
      <c r="B165" s="665" t="s">
        <v>496</v>
      </c>
      <c r="C165" s="1421"/>
      <c r="D165" s="737" t="s">
        <v>18</v>
      </c>
      <c r="E165" s="782">
        <v>11</v>
      </c>
      <c r="F165" s="782">
        <v>9</v>
      </c>
      <c r="G165" s="782"/>
      <c r="H165" s="968"/>
      <c r="I165" s="968"/>
      <c r="J165" s="968"/>
      <c r="K165" s="968"/>
      <c r="L165" s="968"/>
      <c r="M165" s="968"/>
      <c r="N165" s="774">
        <f>SUM(E165:M165)</f>
        <v>20</v>
      </c>
      <c r="O165" s="771"/>
      <c r="P165" s="711">
        <f t="shared" si="18"/>
        <v>0</v>
      </c>
    </row>
    <row r="166" spans="1:125">
      <c r="A166" s="718" t="s">
        <v>1359</v>
      </c>
      <c r="B166" s="665" t="s">
        <v>114</v>
      </c>
      <c r="C166" s="1421"/>
      <c r="D166" s="737" t="s">
        <v>18</v>
      </c>
      <c r="E166" s="782">
        <v>38</v>
      </c>
      <c r="F166" s="782">
        <v>12</v>
      </c>
      <c r="G166" s="782">
        <v>7</v>
      </c>
      <c r="H166" s="968">
        <v>6</v>
      </c>
      <c r="I166" s="968">
        <v>1</v>
      </c>
      <c r="J166" s="968">
        <v>2</v>
      </c>
      <c r="K166" s="968">
        <v>17</v>
      </c>
      <c r="L166" s="968">
        <v>4</v>
      </c>
      <c r="M166" s="968">
        <v>9</v>
      </c>
      <c r="N166" s="774">
        <f>SUM(E166:M166)</f>
        <v>96</v>
      </c>
      <c r="O166" s="771"/>
      <c r="P166" s="711">
        <f t="shared" si="18"/>
        <v>0</v>
      </c>
    </row>
    <row r="167" spans="1:125">
      <c r="A167" s="718" t="s">
        <v>1360</v>
      </c>
      <c r="B167" s="665" t="s">
        <v>74</v>
      </c>
      <c r="C167" s="1421"/>
      <c r="D167" s="737" t="s">
        <v>18</v>
      </c>
      <c r="E167" s="782">
        <v>33</v>
      </c>
      <c r="F167" s="782">
        <v>42</v>
      </c>
      <c r="G167" s="782">
        <v>38</v>
      </c>
      <c r="H167" s="968">
        <v>254</v>
      </c>
      <c r="I167" s="968">
        <v>12</v>
      </c>
      <c r="J167" s="968">
        <v>140</v>
      </c>
      <c r="K167" s="968">
        <v>259</v>
      </c>
      <c r="L167" s="968">
        <v>49</v>
      </c>
      <c r="M167" s="968">
        <v>499</v>
      </c>
      <c r="N167" s="774">
        <f>SUM(E167:M167)</f>
        <v>1326</v>
      </c>
      <c r="O167" s="771"/>
      <c r="P167" s="711">
        <f t="shared" si="18"/>
        <v>0</v>
      </c>
    </row>
    <row r="168" spans="1:125" s="592" customFormat="1" ht="16.5" customHeight="1">
      <c r="A168" s="717" t="s">
        <v>1361</v>
      </c>
      <c r="B168" s="1062" t="s">
        <v>394</v>
      </c>
      <c r="C168" s="1420" t="s">
        <v>2537</v>
      </c>
      <c r="D168" s="740"/>
      <c r="E168" s="973"/>
      <c r="F168" s="973"/>
      <c r="G168" s="973"/>
      <c r="H168" s="782"/>
      <c r="I168" s="782"/>
      <c r="J168" s="782"/>
      <c r="K168" s="782"/>
      <c r="L168" s="782"/>
      <c r="M168" s="782"/>
      <c r="N168" s="774"/>
      <c r="O168" s="775"/>
      <c r="P168" s="711"/>
      <c r="Q168" s="1320"/>
      <c r="R168" s="1320"/>
      <c r="S168" s="1320"/>
      <c r="T168" s="1320"/>
      <c r="U168" s="1320"/>
      <c r="V168" s="1320"/>
      <c r="W168" s="1320"/>
      <c r="X168" s="1320"/>
      <c r="Y168" s="1320"/>
      <c r="Z168" s="1320"/>
      <c r="AA168" s="1320"/>
      <c r="AB168" s="1320"/>
      <c r="AC168" s="1320"/>
      <c r="AD168" s="1320"/>
      <c r="AE168" s="1320"/>
      <c r="AF168" s="1320"/>
      <c r="AG168" s="1320"/>
      <c r="AH168" s="1320"/>
      <c r="AI168" s="1320"/>
      <c r="AJ168" s="1320"/>
      <c r="AK168" s="1320"/>
      <c r="AL168" s="1320"/>
      <c r="AM168" s="1320"/>
      <c r="AN168" s="1320"/>
      <c r="AO168" s="1320"/>
      <c r="AP168" s="1320"/>
      <c r="AQ168" s="1320"/>
      <c r="AR168" s="1320"/>
      <c r="AS168" s="1320"/>
      <c r="AT168" s="1320"/>
      <c r="AU168" s="1320"/>
      <c r="AV168" s="1320"/>
      <c r="AW168" s="1320"/>
      <c r="AX168" s="1320"/>
      <c r="AY168" s="1320"/>
      <c r="AZ168" s="1320"/>
      <c r="BA168" s="1320"/>
      <c r="BB168" s="1320"/>
      <c r="BC168" s="1320"/>
      <c r="BD168" s="1320"/>
      <c r="BE168" s="1320"/>
      <c r="BF168" s="1320"/>
      <c r="BG168" s="1320"/>
      <c r="BH168" s="1320"/>
      <c r="BI168" s="1320"/>
      <c r="BJ168" s="1320"/>
      <c r="BK168" s="1320"/>
      <c r="BL168" s="1320"/>
      <c r="BM168" s="1320"/>
      <c r="BN168" s="1320"/>
      <c r="BO168" s="1320"/>
      <c r="BP168" s="1320"/>
      <c r="BQ168" s="1320"/>
      <c r="BR168" s="1320"/>
      <c r="BS168" s="1320"/>
      <c r="BT168" s="1320"/>
      <c r="BU168" s="1320"/>
      <c r="BV168" s="1320"/>
      <c r="BW168" s="1320"/>
      <c r="BX168" s="1320"/>
      <c r="BY168" s="1320"/>
      <c r="BZ168" s="1320"/>
      <c r="CA168" s="1320"/>
      <c r="CB168" s="1320"/>
      <c r="CC168" s="1320"/>
      <c r="CD168" s="1320"/>
      <c r="CE168" s="1320"/>
      <c r="CF168" s="1320"/>
      <c r="CG168" s="1320"/>
      <c r="CH168" s="1320"/>
      <c r="CI168" s="1320"/>
      <c r="CJ168" s="1320"/>
      <c r="CK168" s="1320"/>
      <c r="CL168" s="1320"/>
      <c r="CM168" s="1320"/>
      <c r="CN168" s="1320"/>
      <c r="CO168" s="1320"/>
      <c r="CP168" s="1320"/>
      <c r="CQ168" s="1320"/>
      <c r="CR168" s="1320"/>
      <c r="CS168" s="1320"/>
      <c r="CT168" s="1320"/>
      <c r="CU168" s="1320"/>
      <c r="CV168" s="1320"/>
      <c r="CW168" s="1320"/>
      <c r="CX168" s="1320"/>
      <c r="CY168" s="1320"/>
      <c r="CZ168" s="1320"/>
      <c r="DA168" s="1320"/>
      <c r="DB168" s="1320"/>
      <c r="DC168" s="1320"/>
      <c r="DD168" s="1320"/>
      <c r="DE168" s="1320"/>
      <c r="DF168" s="1320"/>
      <c r="DG168" s="1320"/>
      <c r="DH168" s="1320"/>
      <c r="DI168" s="1320"/>
      <c r="DJ168" s="1320"/>
      <c r="DK168" s="1320"/>
      <c r="DL168" s="1320"/>
      <c r="DM168" s="1320"/>
      <c r="DN168" s="1320"/>
      <c r="DO168" s="1320"/>
      <c r="DP168" s="1320"/>
      <c r="DQ168" s="1320"/>
      <c r="DR168" s="1320"/>
      <c r="DS168" s="1320"/>
      <c r="DT168" s="1320"/>
      <c r="DU168" s="1320"/>
    </row>
    <row r="169" spans="1:125" s="592" customFormat="1" ht="16.5" customHeight="1">
      <c r="A169" s="714" t="s">
        <v>1362</v>
      </c>
      <c r="B169" s="789" t="s">
        <v>566</v>
      </c>
      <c r="C169" s="1421"/>
      <c r="D169" s="741" t="s">
        <v>18</v>
      </c>
      <c r="E169" s="973"/>
      <c r="F169" s="973"/>
      <c r="G169" s="973"/>
      <c r="H169" s="782">
        <v>10</v>
      </c>
      <c r="I169" s="782">
        <v>13</v>
      </c>
      <c r="J169" s="782"/>
      <c r="K169" s="782"/>
      <c r="L169" s="782"/>
      <c r="M169" s="782">
        <v>29</v>
      </c>
      <c r="N169" s="774">
        <f t="shared" ref="N169:N205" si="22">SUM(E169:M169)</f>
        <v>52</v>
      </c>
      <c r="O169" s="771"/>
      <c r="P169" s="711">
        <f t="shared" si="18"/>
        <v>0</v>
      </c>
      <c r="Q169" s="1320"/>
      <c r="R169" s="1320"/>
      <c r="S169" s="1320"/>
      <c r="T169" s="1320"/>
      <c r="U169" s="1320"/>
      <c r="V169" s="1320"/>
      <c r="W169" s="1320"/>
      <c r="X169" s="1320"/>
      <c r="Y169" s="1320"/>
      <c r="Z169" s="1320"/>
      <c r="AA169" s="1320"/>
      <c r="AB169" s="1320"/>
      <c r="AC169" s="1320"/>
      <c r="AD169" s="1320"/>
      <c r="AE169" s="1320"/>
      <c r="AF169" s="1320"/>
      <c r="AG169" s="1320"/>
      <c r="AH169" s="1320"/>
      <c r="AI169" s="1320"/>
      <c r="AJ169" s="1320"/>
      <c r="AK169" s="1320"/>
      <c r="AL169" s="1320"/>
      <c r="AM169" s="1320"/>
      <c r="AN169" s="1320"/>
      <c r="AO169" s="1320"/>
      <c r="AP169" s="1320"/>
      <c r="AQ169" s="1320"/>
      <c r="AR169" s="1320"/>
      <c r="AS169" s="1320"/>
      <c r="AT169" s="1320"/>
      <c r="AU169" s="1320"/>
      <c r="AV169" s="1320"/>
      <c r="AW169" s="1320"/>
      <c r="AX169" s="1320"/>
      <c r="AY169" s="1320"/>
      <c r="AZ169" s="1320"/>
      <c r="BA169" s="1320"/>
      <c r="BB169" s="1320"/>
      <c r="BC169" s="1320"/>
      <c r="BD169" s="1320"/>
      <c r="BE169" s="1320"/>
      <c r="BF169" s="1320"/>
      <c r="BG169" s="1320"/>
      <c r="BH169" s="1320"/>
      <c r="BI169" s="1320"/>
      <c r="BJ169" s="1320"/>
      <c r="BK169" s="1320"/>
      <c r="BL169" s="1320"/>
      <c r="BM169" s="1320"/>
      <c r="BN169" s="1320"/>
      <c r="BO169" s="1320"/>
      <c r="BP169" s="1320"/>
      <c r="BQ169" s="1320"/>
      <c r="BR169" s="1320"/>
      <c r="BS169" s="1320"/>
      <c r="BT169" s="1320"/>
      <c r="BU169" s="1320"/>
      <c r="BV169" s="1320"/>
      <c r="BW169" s="1320"/>
      <c r="BX169" s="1320"/>
      <c r="BY169" s="1320"/>
      <c r="BZ169" s="1320"/>
      <c r="CA169" s="1320"/>
      <c r="CB169" s="1320"/>
      <c r="CC169" s="1320"/>
      <c r="CD169" s="1320"/>
      <c r="CE169" s="1320"/>
      <c r="CF169" s="1320"/>
      <c r="CG169" s="1320"/>
      <c r="CH169" s="1320"/>
      <c r="CI169" s="1320"/>
      <c r="CJ169" s="1320"/>
      <c r="CK169" s="1320"/>
      <c r="CL169" s="1320"/>
      <c r="CM169" s="1320"/>
      <c r="CN169" s="1320"/>
      <c r="CO169" s="1320"/>
      <c r="CP169" s="1320"/>
      <c r="CQ169" s="1320"/>
      <c r="CR169" s="1320"/>
      <c r="CS169" s="1320"/>
      <c r="CT169" s="1320"/>
      <c r="CU169" s="1320"/>
      <c r="CV169" s="1320"/>
      <c r="CW169" s="1320"/>
      <c r="CX169" s="1320"/>
      <c r="CY169" s="1320"/>
      <c r="CZ169" s="1320"/>
      <c r="DA169" s="1320"/>
      <c r="DB169" s="1320"/>
      <c r="DC169" s="1320"/>
      <c r="DD169" s="1320"/>
      <c r="DE169" s="1320"/>
      <c r="DF169" s="1320"/>
      <c r="DG169" s="1320"/>
      <c r="DH169" s="1320"/>
      <c r="DI169" s="1320"/>
      <c r="DJ169" s="1320"/>
      <c r="DK169" s="1320"/>
      <c r="DL169" s="1320"/>
      <c r="DM169" s="1320"/>
      <c r="DN169" s="1320"/>
      <c r="DO169" s="1320"/>
      <c r="DP169" s="1320"/>
      <c r="DQ169" s="1320"/>
      <c r="DR169" s="1320"/>
      <c r="DS169" s="1320"/>
      <c r="DT169" s="1320"/>
      <c r="DU169" s="1320"/>
    </row>
    <row r="170" spans="1:125" s="592" customFormat="1" ht="16.5" customHeight="1">
      <c r="A170" s="714" t="s">
        <v>1363</v>
      </c>
      <c r="B170" s="789" t="s">
        <v>573</v>
      </c>
      <c r="C170" s="1421"/>
      <c r="D170" s="741" t="s">
        <v>18</v>
      </c>
      <c r="E170" s="973"/>
      <c r="F170" s="973"/>
      <c r="G170" s="973"/>
      <c r="H170" s="782"/>
      <c r="I170" s="782">
        <v>2</v>
      </c>
      <c r="J170" s="782"/>
      <c r="K170" s="782"/>
      <c r="L170" s="782"/>
      <c r="M170" s="782">
        <v>1</v>
      </c>
      <c r="N170" s="774">
        <f t="shared" si="22"/>
        <v>3</v>
      </c>
      <c r="O170" s="771"/>
      <c r="P170" s="711">
        <f t="shared" si="18"/>
        <v>0</v>
      </c>
      <c r="Q170" s="1320"/>
      <c r="R170" s="1320"/>
      <c r="S170" s="1320"/>
      <c r="T170" s="1320"/>
      <c r="U170" s="1320"/>
      <c r="V170" s="1320"/>
      <c r="W170" s="1320"/>
      <c r="X170" s="1320"/>
      <c r="Y170" s="1320"/>
      <c r="Z170" s="1320"/>
      <c r="AA170" s="1320"/>
      <c r="AB170" s="1320"/>
      <c r="AC170" s="1320"/>
      <c r="AD170" s="1320"/>
      <c r="AE170" s="1320"/>
      <c r="AF170" s="1320"/>
      <c r="AG170" s="1320"/>
      <c r="AH170" s="1320"/>
      <c r="AI170" s="1320"/>
      <c r="AJ170" s="1320"/>
      <c r="AK170" s="1320"/>
      <c r="AL170" s="1320"/>
      <c r="AM170" s="1320"/>
      <c r="AN170" s="1320"/>
      <c r="AO170" s="1320"/>
      <c r="AP170" s="1320"/>
      <c r="AQ170" s="1320"/>
      <c r="AR170" s="1320"/>
      <c r="AS170" s="1320"/>
      <c r="AT170" s="1320"/>
      <c r="AU170" s="1320"/>
      <c r="AV170" s="1320"/>
      <c r="AW170" s="1320"/>
      <c r="AX170" s="1320"/>
      <c r="AY170" s="1320"/>
      <c r="AZ170" s="1320"/>
      <c r="BA170" s="1320"/>
      <c r="BB170" s="1320"/>
      <c r="BC170" s="1320"/>
      <c r="BD170" s="1320"/>
      <c r="BE170" s="1320"/>
      <c r="BF170" s="1320"/>
      <c r="BG170" s="1320"/>
      <c r="BH170" s="1320"/>
      <c r="BI170" s="1320"/>
      <c r="BJ170" s="1320"/>
      <c r="BK170" s="1320"/>
      <c r="BL170" s="1320"/>
      <c r="BM170" s="1320"/>
      <c r="BN170" s="1320"/>
      <c r="BO170" s="1320"/>
      <c r="BP170" s="1320"/>
      <c r="BQ170" s="1320"/>
      <c r="BR170" s="1320"/>
      <c r="BS170" s="1320"/>
      <c r="BT170" s="1320"/>
      <c r="BU170" s="1320"/>
      <c r="BV170" s="1320"/>
      <c r="BW170" s="1320"/>
      <c r="BX170" s="1320"/>
      <c r="BY170" s="1320"/>
      <c r="BZ170" s="1320"/>
      <c r="CA170" s="1320"/>
      <c r="CB170" s="1320"/>
      <c r="CC170" s="1320"/>
      <c r="CD170" s="1320"/>
      <c r="CE170" s="1320"/>
      <c r="CF170" s="1320"/>
      <c r="CG170" s="1320"/>
      <c r="CH170" s="1320"/>
      <c r="CI170" s="1320"/>
      <c r="CJ170" s="1320"/>
      <c r="CK170" s="1320"/>
      <c r="CL170" s="1320"/>
      <c r="CM170" s="1320"/>
      <c r="CN170" s="1320"/>
      <c r="CO170" s="1320"/>
      <c r="CP170" s="1320"/>
      <c r="CQ170" s="1320"/>
      <c r="CR170" s="1320"/>
      <c r="CS170" s="1320"/>
      <c r="CT170" s="1320"/>
      <c r="CU170" s="1320"/>
      <c r="CV170" s="1320"/>
      <c r="CW170" s="1320"/>
      <c r="CX170" s="1320"/>
      <c r="CY170" s="1320"/>
      <c r="CZ170" s="1320"/>
      <c r="DA170" s="1320"/>
      <c r="DB170" s="1320"/>
      <c r="DC170" s="1320"/>
      <c r="DD170" s="1320"/>
      <c r="DE170" s="1320"/>
      <c r="DF170" s="1320"/>
      <c r="DG170" s="1320"/>
      <c r="DH170" s="1320"/>
      <c r="DI170" s="1320"/>
      <c r="DJ170" s="1320"/>
      <c r="DK170" s="1320"/>
      <c r="DL170" s="1320"/>
      <c r="DM170" s="1320"/>
      <c r="DN170" s="1320"/>
      <c r="DO170" s="1320"/>
      <c r="DP170" s="1320"/>
      <c r="DQ170" s="1320"/>
      <c r="DR170" s="1320"/>
      <c r="DS170" s="1320"/>
      <c r="DT170" s="1320"/>
      <c r="DU170" s="1320"/>
    </row>
    <row r="171" spans="1:125" s="592" customFormat="1" ht="16.5" customHeight="1">
      <c r="A171" s="714" t="s">
        <v>1364</v>
      </c>
      <c r="B171" s="789" t="s">
        <v>624</v>
      </c>
      <c r="C171" s="1421"/>
      <c r="D171" s="741" t="s">
        <v>18</v>
      </c>
      <c r="E171" s="973"/>
      <c r="F171" s="973"/>
      <c r="G171" s="973"/>
      <c r="H171" s="782"/>
      <c r="I171" s="782"/>
      <c r="J171" s="782"/>
      <c r="K171" s="782"/>
      <c r="L171" s="782"/>
      <c r="M171" s="782">
        <v>1</v>
      </c>
      <c r="N171" s="774">
        <f t="shared" si="22"/>
        <v>1</v>
      </c>
      <c r="O171" s="771"/>
      <c r="P171" s="711">
        <f t="shared" si="18"/>
        <v>0</v>
      </c>
      <c r="Q171" s="1320"/>
      <c r="R171" s="1320"/>
      <c r="S171" s="1320"/>
      <c r="T171" s="1320"/>
      <c r="U171" s="1320"/>
      <c r="V171" s="1320"/>
      <c r="W171" s="1320"/>
      <c r="X171" s="1320"/>
      <c r="Y171" s="1320"/>
      <c r="Z171" s="1320"/>
      <c r="AA171" s="1320"/>
      <c r="AB171" s="1320"/>
      <c r="AC171" s="1320"/>
      <c r="AD171" s="1320"/>
      <c r="AE171" s="1320"/>
      <c r="AF171" s="1320"/>
      <c r="AG171" s="1320"/>
      <c r="AH171" s="1320"/>
      <c r="AI171" s="1320"/>
      <c r="AJ171" s="1320"/>
      <c r="AK171" s="1320"/>
      <c r="AL171" s="1320"/>
      <c r="AM171" s="1320"/>
      <c r="AN171" s="1320"/>
      <c r="AO171" s="1320"/>
      <c r="AP171" s="1320"/>
      <c r="AQ171" s="1320"/>
      <c r="AR171" s="1320"/>
      <c r="AS171" s="1320"/>
      <c r="AT171" s="1320"/>
      <c r="AU171" s="1320"/>
      <c r="AV171" s="1320"/>
      <c r="AW171" s="1320"/>
      <c r="AX171" s="1320"/>
      <c r="AY171" s="1320"/>
      <c r="AZ171" s="1320"/>
      <c r="BA171" s="1320"/>
      <c r="BB171" s="1320"/>
      <c r="BC171" s="1320"/>
      <c r="BD171" s="1320"/>
      <c r="BE171" s="1320"/>
      <c r="BF171" s="1320"/>
      <c r="BG171" s="1320"/>
      <c r="BH171" s="1320"/>
      <c r="BI171" s="1320"/>
      <c r="BJ171" s="1320"/>
      <c r="BK171" s="1320"/>
      <c r="BL171" s="1320"/>
      <c r="BM171" s="1320"/>
      <c r="BN171" s="1320"/>
      <c r="BO171" s="1320"/>
      <c r="BP171" s="1320"/>
      <c r="BQ171" s="1320"/>
      <c r="BR171" s="1320"/>
      <c r="BS171" s="1320"/>
      <c r="BT171" s="1320"/>
      <c r="BU171" s="1320"/>
      <c r="BV171" s="1320"/>
      <c r="BW171" s="1320"/>
      <c r="BX171" s="1320"/>
      <c r="BY171" s="1320"/>
      <c r="BZ171" s="1320"/>
      <c r="CA171" s="1320"/>
      <c r="CB171" s="1320"/>
      <c r="CC171" s="1320"/>
      <c r="CD171" s="1320"/>
      <c r="CE171" s="1320"/>
      <c r="CF171" s="1320"/>
      <c r="CG171" s="1320"/>
      <c r="CH171" s="1320"/>
      <c r="CI171" s="1320"/>
      <c r="CJ171" s="1320"/>
      <c r="CK171" s="1320"/>
      <c r="CL171" s="1320"/>
      <c r="CM171" s="1320"/>
      <c r="CN171" s="1320"/>
      <c r="CO171" s="1320"/>
      <c r="CP171" s="1320"/>
      <c r="CQ171" s="1320"/>
      <c r="CR171" s="1320"/>
      <c r="CS171" s="1320"/>
      <c r="CT171" s="1320"/>
      <c r="CU171" s="1320"/>
      <c r="CV171" s="1320"/>
      <c r="CW171" s="1320"/>
      <c r="CX171" s="1320"/>
      <c r="CY171" s="1320"/>
      <c r="CZ171" s="1320"/>
      <c r="DA171" s="1320"/>
      <c r="DB171" s="1320"/>
      <c r="DC171" s="1320"/>
      <c r="DD171" s="1320"/>
      <c r="DE171" s="1320"/>
      <c r="DF171" s="1320"/>
      <c r="DG171" s="1320"/>
      <c r="DH171" s="1320"/>
      <c r="DI171" s="1320"/>
      <c r="DJ171" s="1320"/>
      <c r="DK171" s="1320"/>
      <c r="DL171" s="1320"/>
      <c r="DM171" s="1320"/>
      <c r="DN171" s="1320"/>
      <c r="DO171" s="1320"/>
      <c r="DP171" s="1320"/>
      <c r="DQ171" s="1320"/>
      <c r="DR171" s="1320"/>
      <c r="DS171" s="1320"/>
      <c r="DT171" s="1320"/>
      <c r="DU171" s="1320"/>
    </row>
    <row r="172" spans="1:125" s="592" customFormat="1" ht="16.5" customHeight="1">
      <c r="A172" s="714" t="s">
        <v>1365</v>
      </c>
      <c r="B172" s="789" t="s">
        <v>574</v>
      </c>
      <c r="C172" s="1421"/>
      <c r="D172" s="741" t="s">
        <v>18</v>
      </c>
      <c r="E172" s="973"/>
      <c r="F172" s="973"/>
      <c r="G172" s="973"/>
      <c r="H172" s="782"/>
      <c r="I172" s="782">
        <v>2</v>
      </c>
      <c r="J172" s="782">
        <v>4</v>
      </c>
      <c r="K172" s="782">
        <v>9</v>
      </c>
      <c r="L172" s="782">
        <v>1</v>
      </c>
      <c r="M172" s="782">
        <v>2</v>
      </c>
      <c r="N172" s="774">
        <f t="shared" si="22"/>
        <v>18</v>
      </c>
      <c r="O172" s="771"/>
      <c r="P172" s="711">
        <f t="shared" si="18"/>
        <v>0</v>
      </c>
      <c r="Q172" s="1320"/>
      <c r="R172" s="1320"/>
      <c r="S172" s="1320"/>
      <c r="T172" s="1320"/>
      <c r="U172" s="1320"/>
      <c r="V172" s="1320"/>
      <c r="W172" s="1320"/>
      <c r="X172" s="1320"/>
      <c r="Y172" s="1320"/>
      <c r="Z172" s="1320"/>
      <c r="AA172" s="1320"/>
      <c r="AB172" s="1320"/>
      <c r="AC172" s="1320"/>
      <c r="AD172" s="1320"/>
      <c r="AE172" s="1320"/>
      <c r="AF172" s="1320"/>
      <c r="AG172" s="1320"/>
      <c r="AH172" s="1320"/>
      <c r="AI172" s="1320"/>
      <c r="AJ172" s="1320"/>
      <c r="AK172" s="1320"/>
      <c r="AL172" s="1320"/>
      <c r="AM172" s="1320"/>
      <c r="AN172" s="1320"/>
      <c r="AO172" s="1320"/>
      <c r="AP172" s="1320"/>
      <c r="AQ172" s="1320"/>
      <c r="AR172" s="1320"/>
      <c r="AS172" s="1320"/>
      <c r="AT172" s="1320"/>
      <c r="AU172" s="1320"/>
      <c r="AV172" s="1320"/>
      <c r="AW172" s="1320"/>
      <c r="AX172" s="1320"/>
      <c r="AY172" s="1320"/>
      <c r="AZ172" s="1320"/>
      <c r="BA172" s="1320"/>
      <c r="BB172" s="1320"/>
      <c r="BC172" s="1320"/>
      <c r="BD172" s="1320"/>
      <c r="BE172" s="1320"/>
      <c r="BF172" s="1320"/>
      <c r="BG172" s="1320"/>
      <c r="BH172" s="1320"/>
      <c r="BI172" s="1320"/>
      <c r="BJ172" s="1320"/>
      <c r="BK172" s="1320"/>
      <c r="BL172" s="1320"/>
      <c r="BM172" s="1320"/>
      <c r="BN172" s="1320"/>
      <c r="BO172" s="1320"/>
      <c r="BP172" s="1320"/>
      <c r="BQ172" s="1320"/>
      <c r="BR172" s="1320"/>
      <c r="BS172" s="1320"/>
      <c r="BT172" s="1320"/>
      <c r="BU172" s="1320"/>
      <c r="BV172" s="1320"/>
      <c r="BW172" s="1320"/>
      <c r="BX172" s="1320"/>
      <c r="BY172" s="1320"/>
      <c r="BZ172" s="1320"/>
      <c r="CA172" s="1320"/>
      <c r="CB172" s="1320"/>
      <c r="CC172" s="1320"/>
      <c r="CD172" s="1320"/>
      <c r="CE172" s="1320"/>
      <c r="CF172" s="1320"/>
      <c r="CG172" s="1320"/>
      <c r="CH172" s="1320"/>
      <c r="CI172" s="1320"/>
      <c r="CJ172" s="1320"/>
      <c r="CK172" s="1320"/>
      <c r="CL172" s="1320"/>
      <c r="CM172" s="1320"/>
      <c r="CN172" s="1320"/>
      <c r="CO172" s="1320"/>
      <c r="CP172" s="1320"/>
      <c r="CQ172" s="1320"/>
      <c r="CR172" s="1320"/>
      <c r="CS172" s="1320"/>
      <c r="CT172" s="1320"/>
      <c r="CU172" s="1320"/>
      <c r="CV172" s="1320"/>
      <c r="CW172" s="1320"/>
      <c r="CX172" s="1320"/>
      <c r="CY172" s="1320"/>
      <c r="CZ172" s="1320"/>
      <c r="DA172" s="1320"/>
      <c r="DB172" s="1320"/>
      <c r="DC172" s="1320"/>
      <c r="DD172" s="1320"/>
      <c r="DE172" s="1320"/>
      <c r="DF172" s="1320"/>
      <c r="DG172" s="1320"/>
      <c r="DH172" s="1320"/>
      <c r="DI172" s="1320"/>
      <c r="DJ172" s="1320"/>
      <c r="DK172" s="1320"/>
      <c r="DL172" s="1320"/>
      <c r="DM172" s="1320"/>
      <c r="DN172" s="1320"/>
      <c r="DO172" s="1320"/>
      <c r="DP172" s="1320"/>
      <c r="DQ172" s="1320"/>
      <c r="DR172" s="1320"/>
      <c r="DS172" s="1320"/>
      <c r="DT172" s="1320"/>
      <c r="DU172" s="1320"/>
    </row>
    <row r="173" spans="1:125" s="592" customFormat="1" ht="16.5" customHeight="1">
      <c r="A173" s="714" t="s">
        <v>1366</v>
      </c>
      <c r="B173" s="789" t="s">
        <v>575</v>
      </c>
      <c r="C173" s="1421"/>
      <c r="D173" s="741" t="s">
        <v>18</v>
      </c>
      <c r="E173" s="973"/>
      <c r="F173" s="973"/>
      <c r="G173" s="973"/>
      <c r="H173" s="782"/>
      <c r="I173" s="782">
        <v>1</v>
      </c>
      <c r="J173" s="782"/>
      <c r="K173" s="782"/>
      <c r="L173" s="782"/>
      <c r="M173" s="782"/>
      <c r="N173" s="774">
        <f t="shared" si="22"/>
        <v>1</v>
      </c>
      <c r="O173" s="771"/>
      <c r="P173" s="711">
        <f t="shared" si="18"/>
        <v>0</v>
      </c>
      <c r="Q173" s="1320"/>
      <c r="R173" s="1320"/>
      <c r="S173" s="1320"/>
      <c r="T173" s="1320"/>
      <c r="U173" s="1320"/>
      <c r="V173" s="1320"/>
      <c r="W173" s="1320"/>
      <c r="X173" s="1320"/>
      <c r="Y173" s="1320"/>
      <c r="Z173" s="1320"/>
      <c r="AA173" s="1320"/>
      <c r="AB173" s="1320"/>
      <c r="AC173" s="1320"/>
      <c r="AD173" s="1320"/>
      <c r="AE173" s="1320"/>
      <c r="AF173" s="1320"/>
      <c r="AG173" s="1320"/>
      <c r="AH173" s="1320"/>
      <c r="AI173" s="1320"/>
      <c r="AJ173" s="1320"/>
      <c r="AK173" s="1320"/>
      <c r="AL173" s="1320"/>
      <c r="AM173" s="1320"/>
      <c r="AN173" s="1320"/>
      <c r="AO173" s="1320"/>
      <c r="AP173" s="1320"/>
      <c r="AQ173" s="1320"/>
      <c r="AR173" s="1320"/>
      <c r="AS173" s="1320"/>
      <c r="AT173" s="1320"/>
      <c r="AU173" s="1320"/>
      <c r="AV173" s="1320"/>
      <c r="AW173" s="1320"/>
      <c r="AX173" s="1320"/>
      <c r="AY173" s="1320"/>
      <c r="AZ173" s="1320"/>
      <c r="BA173" s="1320"/>
      <c r="BB173" s="1320"/>
      <c r="BC173" s="1320"/>
      <c r="BD173" s="1320"/>
      <c r="BE173" s="1320"/>
      <c r="BF173" s="1320"/>
      <c r="BG173" s="1320"/>
      <c r="BH173" s="1320"/>
      <c r="BI173" s="1320"/>
      <c r="BJ173" s="1320"/>
      <c r="BK173" s="1320"/>
      <c r="BL173" s="1320"/>
      <c r="BM173" s="1320"/>
      <c r="BN173" s="1320"/>
      <c r="BO173" s="1320"/>
      <c r="BP173" s="1320"/>
      <c r="BQ173" s="1320"/>
      <c r="BR173" s="1320"/>
      <c r="BS173" s="1320"/>
      <c r="BT173" s="1320"/>
      <c r="BU173" s="1320"/>
      <c r="BV173" s="1320"/>
      <c r="BW173" s="1320"/>
      <c r="BX173" s="1320"/>
      <c r="BY173" s="1320"/>
      <c r="BZ173" s="1320"/>
      <c r="CA173" s="1320"/>
      <c r="CB173" s="1320"/>
      <c r="CC173" s="1320"/>
      <c r="CD173" s="1320"/>
      <c r="CE173" s="1320"/>
      <c r="CF173" s="1320"/>
      <c r="CG173" s="1320"/>
      <c r="CH173" s="1320"/>
      <c r="CI173" s="1320"/>
      <c r="CJ173" s="1320"/>
      <c r="CK173" s="1320"/>
      <c r="CL173" s="1320"/>
      <c r="CM173" s="1320"/>
      <c r="CN173" s="1320"/>
      <c r="CO173" s="1320"/>
      <c r="CP173" s="1320"/>
      <c r="CQ173" s="1320"/>
      <c r="CR173" s="1320"/>
      <c r="CS173" s="1320"/>
      <c r="CT173" s="1320"/>
      <c r="CU173" s="1320"/>
      <c r="CV173" s="1320"/>
      <c r="CW173" s="1320"/>
      <c r="CX173" s="1320"/>
      <c r="CY173" s="1320"/>
      <c r="CZ173" s="1320"/>
      <c r="DA173" s="1320"/>
      <c r="DB173" s="1320"/>
      <c r="DC173" s="1320"/>
      <c r="DD173" s="1320"/>
      <c r="DE173" s="1320"/>
      <c r="DF173" s="1320"/>
      <c r="DG173" s="1320"/>
      <c r="DH173" s="1320"/>
      <c r="DI173" s="1320"/>
      <c r="DJ173" s="1320"/>
      <c r="DK173" s="1320"/>
      <c r="DL173" s="1320"/>
      <c r="DM173" s="1320"/>
      <c r="DN173" s="1320"/>
      <c r="DO173" s="1320"/>
      <c r="DP173" s="1320"/>
      <c r="DQ173" s="1320"/>
      <c r="DR173" s="1320"/>
      <c r="DS173" s="1320"/>
      <c r="DT173" s="1320"/>
      <c r="DU173" s="1320"/>
    </row>
    <row r="174" spans="1:125" s="592" customFormat="1" ht="16.5" customHeight="1">
      <c r="A174" s="714" t="s">
        <v>1367</v>
      </c>
      <c r="B174" s="789" t="s">
        <v>567</v>
      </c>
      <c r="C174" s="1421"/>
      <c r="D174" s="741" t="s">
        <v>18</v>
      </c>
      <c r="E174" s="973"/>
      <c r="F174" s="973"/>
      <c r="G174" s="973"/>
      <c r="H174" s="782">
        <v>13</v>
      </c>
      <c r="I174" s="782"/>
      <c r="J174" s="782"/>
      <c r="K174" s="782"/>
      <c r="L174" s="782"/>
      <c r="M174" s="782"/>
      <c r="N174" s="774">
        <f t="shared" si="22"/>
        <v>13</v>
      </c>
      <c r="O174" s="771"/>
      <c r="P174" s="711">
        <f t="shared" si="18"/>
        <v>0</v>
      </c>
      <c r="Q174" s="1320"/>
      <c r="R174" s="1320"/>
      <c r="S174" s="1320"/>
      <c r="T174" s="1320"/>
      <c r="U174" s="1320"/>
      <c r="V174" s="1320"/>
      <c r="W174" s="1320"/>
      <c r="X174" s="1320"/>
      <c r="Y174" s="1320"/>
      <c r="Z174" s="1320"/>
      <c r="AA174" s="1320"/>
      <c r="AB174" s="1320"/>
      <c r="AC174" s="1320"/>
      <c r="AD174" s="1320"/>
      <c r="AE174" s="1320"/>
      <c r="AF174" s="1320"/>
      <c r="AG174" s="1320"/>
      <c r="AH174" s="1320"/>
      <c r="AI174" s="1320"/>
      <c r="AJ174" s="1320"/>
      <c r="AK174" s="1320"/>
      <c r="AL174" s="1320"/>
      <c r="AM174" s="1320"/>
      <c r="AN174" s="1320"/>
      <c r="AO174" s="1320"/>
      <c r="AP174" s="1320"/>
      <c r="AQ174" s="1320"/>
      <c r="AR174" s="1320"/>
      <c r="AS174" s="1320"/>
      <c r="AT174" s="1320"/>
      <c r="AU174" s="1320"/>
      <c r="AV174" s="1320"/>
      <c r="AW174" s="1320"/>
      <c r="AX174" s="1320"/>
      <c r="AY174" s="1320"/>
      <c r="AZ174" s="1320"/>
      <c r="BA174" s="1320"/>
      <c r="BB174" s="1320"/>
      <c r="BC174" s="1320"/>
      <c r="BD174" s="1320"/>
      <c r="BE174" s="1320"/>
      <c r="BF174" s="1320"/>
      <c r="BG174" s="1320"/>
      <c r="BH174" s="1320"/>
      <c r="BI174" s="1320"/>
      <c r="BJ174" s="1320"/>
      <c r="BK174" s="1320"/>
      <c r="BL174" s="1320"/>
      <c r="BM174" s="1320"/>
      <c r="BN174" s="1320"/>
      <c r="BO174" s="1320"/>
      <c r="BP174" s="1320"/>
      <c r="BQ174" s="1320"/>
      <c r="BR174" s="1320"/>
      <c r="BS174" s="1320"/>
      <c r="BT174" s="1320"/>
      <c r="BU174" s="1320"/>
      <c r="BV174" s="1320"/>
      <c r="BW174" s="1320"/>
      <c r="BX174" s="1320"/>
      <c r="BY174" s="1320"/>
      <c r="BZ174" s="1320"/>
      <c r="CA174" s="1320"/>
      <c r="CB174" s="1320"/>
      <c r="CC174" s="1320"/>
      <c r="CD174" s="1320"/>
      <c r="CE174" s="1320"/>
      <c r="CF174" s="1320"/>
      <c r="CG174" s="1320"/>
      <c r="CH174" s="1320"/>
      <c r="CI174" s="1320"/>
      <c r="CJ174" s="1320"/>
      <c r="CK174" s="1320"/>
      <c r="CL174" s="1320"/>
      <c r="CM174" s="1320"/>
      <c r="CN174" s="1320"/>
      <c r="CO174" s="1320"/>
      <c r="CP174" s="1320"/>
      <c r="CQ174" s="1320"/>
      <c r="CR174" s="1320"/>
      <c r="CS174" s="1320"/>
      <c r="CT174" s="1320"/>
      <c r="CU174" s="1320"/>
      <c r="CV174" s="1320"/>
      <c r="CW174" s="1320"/>
      <c r="CX174" s="1320"/>
      <c r="CY174" s="1320"/>
      <c r="CZ174" s="1320"/>
      <c r="DA174" s="1320"/>
      <c r="DB174" s="1320"/>
      <c r="DC174" s="1320"/>
      <c r="DD174" s="1320"/>
      <c r="DE174" s="1320"/>
      <c r="DF174" s="1320"/>
      <c r="DG174" s="1320"/>
      <c r="DH174" s="1320"/>
      <c r="DI174" s="1320"/>
      <c r="DJ174" s="1320"/>
      <c r="DK174" s="1320"/>
      <c r="DL174" s="1320"/>
      <c r="DM174" s="1320"/>
      <c r="DN174" s="1320"/>
      <c r="DO174" s="1320"/>
      <c r="DP174" s="1320"/>
      <c r="DQ174" s="1320"/>
      <c r="DR174" s="1320"/>
      <c r="DS174" s="1320"/>
      <c r="DT174" s="1320"/>
      <c r="DU174" s="1320"/>
    </row>
    <row r="175" spans="1:125" s="592" customFormat="1" ht="16.5" customHeight="1">
      <c r="A175" s="714" t="s">
        <v>1368</v>
      </c>
      <c r="B175" s="789" t="s">
        <v>568</v>
      </c>
      <c r="C175" s="1421"/>
      <c r="D175" s="741" t="s">
        <v>18</v>
      </c>
      <c r="E175" s="973"/>
      <c r="F175" s="973"/>
      <c r="G175" s="973"/>
      <c r="H175" s="782">
        <v>2</v>
      </c>
      <c r="I175" s="782"/>
      <c r="J175" s="782">
        <v>4</v>
      </c>
      <c r="K175" s="782">
        <v>5</v>
      </c>
      <c r="L175" s="782"/>
      <c r="M175" s="782"/>
      <c r="N175" s="774">
        <f t="shared" si="22"/>
        <v>11</v>
      </c>
      <c r="O175" s="771"/>
      <c r="P175" s="711">
        <f t="shared" si="18"/>
        <v>0</v>
      </c>
      <c r="Q175" s="1320"/>
      <c r="R175" s="1320"/>
      <c r="S175" s="1320"/>
      <c r="T175" s="1320"/>
      <c r="U175" s="1320"/>
      <c r="V175" s="1320"/>
      <c r="W175" s="1320"/>
      <c r="X175" s="1320"/>
      <c r="Y175" s="1320"/>
      <c r="Z175" s="1320"/>
      <c r="AA175" s="1320"/>
      <c r="AB175" s="1320"/>
      <c r="AC175" s="1320"/>
      <c r="AD175" s="1320"/>
      <c r="AE175" s="1320"/>
      <c r="AF175" s="1320"/>
      <c r="AG175" s="1320"/>
      <c r="AH175" s="1320"/>
      <c r="AI175" s="1320"/>
      <c r="AJ175" s="1320"/>
      <c r="AK175" s="1320"/>
      <c r="AL175" s="1320"/>
      <c r="AM175" s="1320"/>
      <c r="AN175" s="1320"/>
      <c r="AO175" s="1320"/>
      <c r="AP175" s="1320"/>
      <c r="AQ175" s="1320"/>
      <c r="AR175" s="1320"/>
      <c r="AS175" s="1320"/>
      <c r="AT175" s="1320"/>
      <c r="AU175" s="1320"/>
      <c r="AV175" s="1320"/>
      <c r="AW175" s="1320"/>
      <c r="AX175" s="1320"/>
      <c r="AY175" s="1320"/>
      <c r="AZ175" s="1320"/>
      <c r="BA175" s="1320"/>
      <c r="BB175" s="1320"/>
      <c r="BC175" s="1320"/>
      <c r="BD175" s="1320"/>
      <c r="BE175" s="1320"/>
      <c r="BF175" s="1320"/>
      <c r="BG175" s="1320"/>
      <c r="BH175" s="1320"/>
      <c r="BI175" s="1320"/>
      <c r="BJ175" s="1320"/>
      <c r="BK175" s="1320"/>
      <c r="BL175" s="1320"/>
      <c r="BM175" s="1320"/>
      <c r="BN175" s="1320"/>
      <c r="BO175" s="1320"/>
      <c r="BP175" s="1320"/>
      <c r="BQ175" s="1320"/>
      <c r="BR175" s="1320"/>
      <c r="BS175" s="1320"/>
      <c r="BT175" s="1320"/>
      <c r="BU175" s="1320"/>
      <c r="BV175" s="1320"/>
      <c r="BW175" s="1320"/>
      <c r="BX175" s="1320"/>
      <c r="BY175" s="1320"/>
      <c r="BZ175" s="1320"/>
      <c r="CA175" s="1320"/>
      <c r="CB175" s="1320"/>
      <c r="CC175" s="1320"/>
      <c r="CD175" s="1320"/>
      <c r="CE175" s="1320"/>
      <c r="CF175" s="1320"/>
      <c r="CG175" s="1320"/>
      <c r="CH175" s="1320"/>
      <c r="CI175" s="1320"/>
      <c r="CJ175" s="1320"/>
      <c r="CK175" s="1320"/>
      <c r="CL175" s="1320"/>
      <c r="CM175" s="1320"/>
      <c r="CN175" s="1320"/>
      <c r="CO175" s="1320"/>
      <c r="CP175" s="1320"/>
      <c r="CQ175" s="1320"/>
      <c r="CR175" s="1320"/>
      <c r="CS175" s="1320"/>
      <c r="CT175" s="1320"/>
      <c r="CU175" s="1320"/>
      <c r="CV175" s="1320"/>
      <c r="CW175" s="1320"/>
      <c r="CX175" s="1320"/>
      <c r="CY175" s="1320"/>
      <c r="CZ175" s="1320"/>
      <c r="DA175" s="1320"/>
      <c r="DB175" s="1320"/>
      <c r="DC175" s="1320"/>
      <c r="DD175" s="1320"/>
      <c r="DE175" s="1320"/>
      <c r="DF175" s="1320"/>
      <c r="DG175" s="1320"/>
      <c r="DH175" s="1320"/>
      <c r="DI175" s="1320"/>
      <c r="DJ175" s="1320"/>
      <c r="DK175" s="1320"/>
      <c r="DL175" s="1320"/>
      <c r="DM175" s="1320"/>
      <c r="DN175" s="1320"/>
      <c r="DO175" s="1320"/>
      <c r="DP175" s="1320"/>
      <c r="DQ175" s="1320"/>
      <c r="DR175" s="1320"/>
      <c r="DS175" s="1320"/>
      <c r="DT175" s="1320"/>
      <c r="DU175" s="1320"/>
    </row>
    <row r="176" spans="1:125" s="592" customFormat="1" ht="16.5" customHeight="1">
      <c r="A176" s="714" t="s">
        <v>1369</v>
      </c>
      <c r="B176" s="789" t="s">
        <v>619</v>
      </c>
      <c r="C176" s="1421"/>
      <c r="D176" s="741" t="s">
        <v>18</v>
      </c>
      <c r="E176" s="973"/>
      <c r="F176" s="973"/>
      <c r="G176" s="973"/>
      <c r="H176" s="782"/>
      <c r="I176" s="782"/>
      <c r="J176" s="782"/>
      <c r="K176" s="782"/>
      <c r="L176" s="782">
        <v>2</v>
      </c>
      <c r="M176" s="782"/>
      <c r="N176" s="774">
        <f t="shared" si="22"/>
        <v>2</v>
      </c>
      <c r="O176" s="771"/>
      <c r="P176" s="711">
        <f t="shared" si="18"/>
        <v>0</v>
      </c>
      <c r="Q176" s="1320"/>
      <c r="R176" s="1320"/>
      <c r="S176" s="1320"/>
      <c r="T176" s="1320"/>
      <c r="U176" s="1320"/>
      <c r="V176" s="1320"/>
      <c r="W176" s="1320"/>
      <c r="X176" s="1320"/>
      <c r="Y176" s="1320"/>
      <c r="Z176" s="1320"/>
      <c r="AA176" s="1320"/>
      <c r="AB176" s="1320"/>
      <c r="AC176" s="1320"/>
      <c r="AD176" s="1320"/>
      <c r="AE176" s="1320"/>
      <c r="AF176" s="1320"/>
      <c r="AG176" s="1320"/>
      <c r="AH176" s="1320"/>
      <c r="AI176" s="1320"/>
      <c r="AJ176" s="1320"/>
      <c r="AK176" s="1320"/>
      <c r="AL176" s="1320"/>
      <c r="AM176" s="1320"/>
      <c r="AN176" s="1320"/>
      <c r="AO176" s="1320"/>
      <c r="AP176" s="1320"/>
      <c r="AQ176" s="1320"/>
      <c r="AR176" s="1320"/>
      <c r="AS176" s="1320"/>
      <c r="AT176" s="1320"/>
      <c r="AU176" s="1320"/>
      <c r="AV176" s="1320"/>
      <c r="AW176" s="1320"/>
      <c r="AX176" s="1320"/>
      <c r="AY176" s="1320"/>
      <c r="AZ176" s="1320"/>
      <c r="BA176" s="1320"/>
      <c r="BB176" s="1320"/>
      <c r="BC176" s="1320"/>
      <c r="BD176" s="1320"/>
      <c r="BE176" s="1320"/>
      <c r="BF176" s="1320"/>
      <c r="BG176" s="1320"/>
      <c r="BH176" s="1320"/>
      <c r="BI176" s="1320"/>
      <c r="BJ176" s="1320"/>
      <c r="BK176" s="1320"/>
      <c r="BL176" s="1320"/>
      <c r="BM176" s="1320"/>
      <c r="BN176" s="1320"/>
      <c r="BO176" s="1320"/>
      <c r="BP176" s="1320"/>
      <c r="BQ176" s="1320"/>
      <c r="BR176" s="1320"/>
      <c r="BS176" s="1320"/>
      <c r="BT176" s="1320"/>
      <c r="BU176" s="1320"/>
      <c r="BV176" s="1320"/>
      <c r="BW176" s="1320"/>
      <c r="BX176" s="1320"/>
      <c r="BY176" s="1320"/>
      <c r="BZ176" s="1320"/>
      <c r="CA176" s="1320"/>
      <c r="CB176" s="1320"/>
      <c r="CC176" s="1320"/>
      <c r="CD176" s="1320"/>
      <c r="CE176" s="1320"/>
      <c r="CF176" s="1320"/>
      <c r="CG176" s="1320"/>
      <c r="CH176" s="1320"/>
      <c r="CI176" s="1320"/>
      <c r="CJ176" s="1320"/>
      <c r="CK176" s="1320"/>
      <c r="CL176" s="1320"/>
      <c r="CM176" s="1320"/>
      <c r="CN176" s="1320"/>
      <c r="CO176" s="1320"/>
      <c r="CP176" s="1320"/>
      <c r="CQ176" s="1320"/>
      <c r="CR176" s="1320"/>
      <c r="CS176" s="1320"/>
      <c r="CT176" s="1320"/>
      <c r="CU176" s="1320"/>
      <c r="CV176" s="1320"/>
      <c r="CW176" s="1320"/>
      <c r="CX176" s="1320"/>
      <c r="CY176" s="1320"/>
      <c r="CZ176" s="1320"/>
      <c r="DA176" s="1320"/>
      <c r="DB176" s="1320"/>
      <c r="DC176" s="1320"/>
      <c r="DD176" s="1320"/>
      <c r="DE176" s="1320"/>
      <c r="DF176" s="1320"/>
      <c r="DG176" s="1320"/>
      <c r="DH176" s="1320"/>
      <c r="DI176" s="1320"/>
      <c r="DJ176" s="1320"/>
      <c r="DK176" s="1320"/>
      <c r="DL176" s="1320"/>
      <c r="DM176" s="1320"/>
      <c r="DN176" s="1320"/>
      <c r="DO176" s="1320"/>
      <c r="DP176" s="1320"/>
      <c r="DQ176" s="1320"/>
      <c r="DR176" s="1320"/>
      <c r="DS176" s="1320"/>
      <c r="DT176" s="1320"/>
      <c r="DU176" s="1320"/>
    </row>
    <row r="177" spans="1:125" s="592" customFormat="1" ht="16.5" customHeight="1">
      <c r="A177" s="714" t="s">
        <v>1370</v>
      </c>
      <c r="B177" s="789" t="s">
        <v>618</v>
      </c>
      <c r="C177" s="1421"/>
      <c r="D177" s="741" t="s">
        <v>18</v>
      </c>
      <c r="E177" s="973"/>
      <c r="F177" s="973"/>
      <c r="G177" s="973"/>
      <c r="H177" s="782"/>
      <c r="I177" s="782"/>
      <c r="J177" s="782"/>
      <c r="K177" s="782"/>
      <c r="L177" s="782">
        <v>6</v>
      </c>
      <c r="M177" s="782"/>
      <c r="N177" s="774">
        <f t="shared" si="22"/>
        <v>6</v>
      </c>
      <c r="O177" s="771"/>
      <c r="P177" s="711">
        <f t="shared" si="18"/>
        <v>0</v>
      </c>
      <c r="Q177" s="1320"/>
      <c r="R177" s="1320"/>
      <c r="S177" s="1320"/>
      <c r="T177" s="1320"/>
      <c r="U177" s="1320"/>
      <c r="V177" s="1320"/>
      <c r="W177" s="1320"/>
      <c r="X177" s="1320"/>
      <c r="Y177" s="1320"/>
      <c r="Z177" s="1320"/>
      <c r="AA177" s="1320"/>
      <c r="AB177" s="1320"/>
      <c r="AC177" s="1320"/>
      <c r="AD177" s="1320"/>
      <c r="AE177" s="1320"/>
      <c r="AF177" s="1320"/>
      <c r="AG177" s="1320"/>
      <c r="AH177" s="1320"/>
      <c r="AI177" s="1320"/>
      <c r="AJ177" s="1320"/>
      <c r="AK177" s="1320"/>
      <c r="AL177" s="1320"/>
      <c r="AM177" s="1320"/>
      <c r="AN177" s="1320"/>
      <c r="AO177" s="1320"/>
      <c r="AP177" s="1320"/>
      <c r="AQ177" s="1320"/>
      <c r="AR177" s="1320"/>
      <c r="AS177" s="1320"/>
      <c r="AT177" s="1320"/>
      <c r="AU177" s="1320"/>
      <c r="AV177" s="1320"/>
      <c r="AW177" s="1320"/>
      <c r="AX177" s="1320"/>
      <c r="AY177" s="1320"/>
      <c r="AZ177" s="1320"/>
      <c r="BA177" s="1320"/>
      <c r="BB177" s="1320"/>
      <c r="BC177" s="1320"/>
      <c r="BD177" s="1320"/>
      <c r="BE177" s="1320"/>
      <c r="BF177" s="1320"/>
      <c r="BG177" s="1320"/>
      <c r="BH177" s="1320"/>
      <c r="BI177" s="1320"/>
      <c r="BJ177" s="1320"/>
      <c r="BK177" s="1320"/>
      <c r="BL177" s="1320"/>
      <c r="BM177" s="1320"/>
      <c r="BN177" s="1320"/>
      <c r="BO177" s="1320"/>
      <c r="BP177" s="1320"/>
      <c r="BQ177" s="1320"/>
      <c r="BR177" s="1320"/>
      <c r="BS177" s="1320"/>
      <c r="BT177" s="1320"/>
      <c r="BU177" s="1320"/>
      <c r="BV177" s="1320"/>
      <c r="BW177" s="1320"/>
      <c r="BX177" s="1320"/>
      <c r="BY177" s="1320"/>
      <c r="BZ177" s="1320"/>
      <c r="CA177" s="1320"/>
      <c r="CB177" s="1320"/>
      <c r="CC177" s="1320"/>
      <c r="CD177" s="1320"/>
      <c r="CE177" s="1320"/>
      <c r="CF177" s="1320"/>
      <c r="CG177" s="1320"/>
      <c r="CH177" s="1320"/>
      <c r="CI177" s="1320"/>
      <c r="CJ177" s="1320"/>
      <c r="CK177" s="1320"/>
      <c r="CL177" s="1320"/>
      <c r="CM177" s="1320"/>
      <c r="CN177" s="1320"/>
      <c r="CO177" s="1320"/>
      <c r="CP177" s="1320"/>
      <c r="CQ177" s="1320"/>
      <c r="CR177" s="1320"/>
      <c r="CS177" s="1320"/>
      <c r="CT177" s="1320"/>
      <c r="CU177" s="1320"/>
      <c r="CV177" s="1320"/>
      <c r="CW177" s="1320"/>
      <c r="CX177" s="1320"/>
      <c r="CY177" s="1320"/>
      <c r="CZ177" s="1320"/>
      <c r="DA177" s="1320"/>
      <c r="DB177" s="1320"/>
      <c r="DC177" s="1320"/>
      <c r="DD177" s="1320"/>
      <c r="DE177" s="1320"/>
      <c r="DF177" s="1320"/>
      <c r="DG177" s="1320"/>
      <c r="DH177" s="1320"/>
      <c r="DI177" s="1320"/>
      <c r="DJ177" s="1320"/>
      <c r="DK177" s="1320"/>
      <c r="DL177" s="1320"/>
      <c r="DM177" s="1320"/>
      <c r="DN177" s="1320"/>
      <c r="DO177" s="1320"/>
      <c r="DP177" s="1320"/>
      <c r="DQ177" s="1320"/>
      <c r="DR177" s="1320"/>
      <c r="DS177" s="1320"/>
      <c r="DT177" s="1320"/>
      <c r="DU177" s="1320"/>
    </row>
    <row r="178" spans="1:125" s="1337" customFormat="1" ht="16.5" customHeight="1">
      <c r="A178" s="1348" t="s">
        <v>1371</v>
      </c>
      <c r="B178" s="1366" t="s">
        <v>660</v>
      </c>
      <c r="C178" s="1421"/>
      <c r="D178" s="1355" t="s">
        <v>18</v>
      </c>
      <c r="E178" s="1401"/>
      <c r="F178" s="1401">
        <v>1</v>
      </c>
      <c r="G178" s="1401"/>
      <c r="H178" s="1365"/>
      <c r="I178" s="1365"/>
      <c r="J178" s="1365"/>
      <c r="K178" s="1365"/>
      <c r="L178" s="1365"/>
      <c r="M178" s="1365"/>
      <c r="N178" s="1363">
        <f t="shared" si="22"/>
        <v>1</v>
      </c>
      <c r="O178" s="1362"/>
      <c r="P178" s="1347">
        <f>N178*O178</f>
        <v>0</v>
      </c>
      <c r="Q178" s="1320"/>
      <c r="R178" s="1320"/>
      <c r="S178" s="1320"/>
      <c r="T178" s="1320"/>
      <c r="U178" s="1320"/>
      <c r="V178" s="1320"/>
      <c r="W178" s="1320"/>
      <c r="X178" s="1320"/>
      <c r="Y178" s="1320"/>
      <c r="Z178" s="1320"/>
      <c r="AA178" s="1320"/>
      <c r="AB178" s="1320"/>
      <c r="AC178" s="1320"/>
      <c r="AD178" s="1320"/>
      <c r="AE178" s="1320"/>
      <c r="AF178" s="1320"/>
      <c r="AG178" s="1320"/>
      <c r="AH178" s="1320"/>
      <c r="AI178" s="1320"/>
      <c r="AJ178" s="1320"/>
      <c r="AK178" s="1320"/>
      <c r="AL178" s="1320"/>
      <c r="AM178" s="1320"/>
      <c r="AN178" s="1320"/>
      <c r="AO178" s="1320"/>
      <c r="AP178" s="1320"/>
      <c r="AQ178" s="1320"/>
      <c r="AR178" s="1320"/>
      <c r="AS178" s="1320"/>
      <c r="AT178" s="1320"/>
      <c r="AU178" s="1320"/>
      <c r="AV178" s="1320"/>
      <c r="AW178" s="1320"/>
      <c r="AX178" s="1320"/>
      <c r="AY178" s="1320"/>
      <c r="AZ178" s="1320"/>
      <c r="BA178" s="1320"/>
      <c r="BB178" s="1320"/>
      <c r="BC178" s="1320"/>
      <c r="BD178" s="1320"/>
      <c r="BE178" s="1320"/>
      <c r="BF178" s="1320"/>
      <c r="BG178" s="1320"/>
      <c r="BH178" s="1320"/>
      <c r="BI178" s="1320"/>
      <c r="BJ178" s="1320"/>
      <c r="BK178" s="1320"/>
      <c r="BL178" s="1320"/>
      <c r="BM178" s="1320"/>
      <c r="BN178" s="1320"/>
      <c r="BO178" s="1320"/>
      <c r="BP178" s="1320"/>
      <c r="BQ178" s="1320"/>
      <c r="BR178" s="1320"/>
      <c r="BS178" s="1320"/>
      <c r="BT178" s="1320"/>
      <c r="BU178" s="1320"/>
      <c r="BV178" s="1320"/>
      <c r="BW178" s="1320"/>
      <c r="BX178" s="1320"/>
      <c r="BY178" s="1320"/>
      <c r="BZ178" s="1320"/>
      <c r="CA178" s="1320"/>
      <c r="CB178" s="1320"/>
      <c r="CC178" s="1320"/>
      <c r="CD178" s="1320"/>
      <c r="CE178" s="1320"/>
      <c r="CF178" s="1320"/>
      <c r="CG178" s="1320"/>
      <c r="CH178" s="1320"/>
      <c r="CI178" s="1320"/>
      <c r="CJ178" s="1320"/>
      <c r="CK178" s="1320"/>
      <c r="CL178" s="1320"/>
      <c r="CM178" s="1320"/>
      <c r="CN178" s="1320"/>
      <c r="CO178" s="1320"/>
      <c r="CP178" s="1320"/>
      <c r="CQ178" s="1320"/>
      <c r="CR178" s="1320"/>
      <c r="CS178" s="1320"/>
      <c r="CT178" s="1320"/>
      <c r="CU178" s="1320"/>
      <c r="CV178" s="1320"/>
      <c r="CW178" s="1320"/>
      <c r="CX178" s="1320"/>
      <c r="CY178" s="1320"/>
      <c r="CZ178" s="1320"/>
      <c r="DA178" s="1320"/>
      <c r="DB178" s="1320"/>
      <c r="DC178" s="1320"/>
      <c r="DD178" s="1320"/>
      <c r="DE178" s="1320"/>
      <c r="DF178" s="1320"/>
      <c r="DG178" s="1320"/>
      <c r="DH178" s="1320"/>
      <c r="DI178" s="1320"/>
      <c r="DJ178" s="1320"/>
      <c r="DK178" s="1320"/>
      <c r="DL178" s="1320"/>
      <c r="DM178" s="1320"/>
      <c r="DN178" s="1320"/>
      <c r="DO178" s="1320"/>
      <c r="DP178" s="1320"/>
      <c r="DQ178" s="1320"/>
      <c r="DR178" s="1320"/>
      <c r="DS178" s="1320"/>
      <c r="DT178" s="1320"/>
      <c r="DU178" s="1320"/>
    </row>
    <row r="179" spans="1:125" s="592" customFormat="1" ht="16.5" customHeight="1">
      <c r="A179" s="714" t="s">
        <v>1372</v>
      </c>
      <c r="B179" s="789" t="s">
        <v>2500</v>
      </c>
      <c r="C179" s="1421"/>
      <c r="D179" s="741" t="s">
        <v>18</v>
      </c>
      <c r="E179" s="973"/>
      <c r="F179" s="973"/>
      <c r="G179" s="973"/>
      <c r="H179" s="782"/>
      <c r="I179" s="782"/>
      <c r="J179" s="782"/>
      <c r="K179" s="782"/>
      <c r="L179" s="782">
        <v>1</v>
      </c>
      <c r="M179" s="782"/>
      <c r="N179" s="774">
        <f t="shared" si="22"/>
        <v>1</v>
      </c>
      <c r="O179" s="771"/>
      <c r="P179" s="711">
        <f t="shared" si="18"/>
        <v>0</v>
      </c>
      <c r="Q179" s="1320"/>
      <c r="R179" s="1320"/>
      <c r="S179" s="1320"/>
      <c r="T179" s="1320"/>
      <c r="U179" s="1320"/>
      <c r="V179" s="1320"/>
      <c r="W179" s="1320"/>
      <c r="X179" s="1320"/>
      <c r="Y179" s="1320"/>
      <c r="Z179" s="1320"/>
      <c r="AA179" s="1320"/>
      <c r="AB179" s="1320"/>
      <c r="AC179" s="1320"/>
      <c r="AD179" s="1320"/>
      <c r="AE179" s="1320"/>
      <c r="AF179" s="1320"/>
      <c r="AG179" s="1320"/>
      <c r="AH179" s="1320"/>
      <c r="AI179" s="1320"/>
      <c r="AJ179" s="1320"/>
      <c r="AK179" s="1320"/>
      <c r="AL179" s="1320"/>
      <c r="AM179" s="1320"/>
      <c r="AN179" s="1320"/>
      <c r="AO179" s="1320"/>
      <c r="AP179" s="1320"/>
      <c r="AQ179" s="1320"/>
      <c r="AR179" s="1320"/>
      <c r="AS179" s="1320"/>
      <c r="AT179" s="1320"/>
      <c r="AU179" s="1320"/>
      <c r="AV179" s="1320"/>
      <c r="AW179" s="1320"/>
      <c r="AX179" s="1320"/>
      <c r="AY179" s="1320"/>
      <c r="AZ179" s="1320"/>
      <c r="BA179" s="1320"/>
      <c r="BB179" s="1320"/>
      <c r="BC179" s="1320"/>
      <c r="BD179" s="1320"/>
      <c r="BE179" s="1320"/>
      <c r="BF179" s="1320"/>
      <c r="BG179" s="1320"/>
      <c r="BH179" s="1320"/>
      <c r="BI179" s="1320"/>
      <c r="BJ179" s="1320"/>
      <c r="BK179" s="1320"/>
      <c r="BL179" s="1320"/>
      <c r="BM179" s="1320"/>
      <c r="BN179" s="1320"/>
      <c r="BO179" s="1320"/>
      <c r="BP179" s="1320"/>
      <c r="BQ179" s="1320"/>
      <c r="BR179" s="1320"/>
      <c r="BS179" s="1320"/>
      <c r="BT179" s="1320"/>
      <c r="BU179" s="1320"/>
      <c r="BV179" s="1320"/>
      <c r="BW179" s="1320"/>
      <c r="BX179" s="1320"/>
      <c r="BY179" s="1320"/>
      <c r="BZ179" s="1320"/>
      <c r="CA179" s="1320"/>
      <c r="CB179" s="1320"/>
      <c r="CC179" s="1320"/>
      <c r="CD179" s="1320"/>
      <c r="CE179" s="1320"/>
      <c r="CF179" s="1320"/>
      <c r="CG179" s="1320"/>
      <c r="CH179" s="1320"/>
      <c r="CI179" s="1320"/>
      <c r="CJ179" s="1320"/>
      <c r="CK179" s="1320"/>
      <c r="CL179" s="1320"/>
      <c r="CM179" s="1320"/>
      <c r="CN179" s="1320"/>
      <c r="CO179" s="1320"/>
      <c r="CP179" s="1320"/>
      <c r="CQ179" s="1320"/>
      <c r="CR179" s="1320"/>
      <c r="CS179" s="1320"/>
      <c r="CT179" s="1320"/>
      <c r="CU179" s="1320"/>
      <c r="CV179" s="1320"/>
      <c r="CW179" s="1320"/>
      <c r="CX179" s="1320"/>
      <c r="CY179" s="1320"/>
      <c r="CZ179" s="1320"/>
      <c r="DA179" s="1320"/>
      <c r="DB179" s="1320"/>
      <c r="DC179" s="1320"/>
      <c r="DD179" s="1320"/>
      <c r="DE179" s="1320"/>
      <c r="DF179" s="1320"/>
      <c r="DG179" s="1320"/>
      <c r="DH179" s="1320"/>
      <c r="DI179" s="1320"/>
      <c r="DJ179" s="1320"/>
      <c r="DK179" s="1320"/>
      <c r="DL179" s="1320"/>
      <c r="DM179" s="1320"/>
      <c r="DN179" s="1320"/>
      <c r="DO179" s="1320"/>
      <c r="DP179" s="1320"/>
      <c r="DQ179" s="1320"/>
      <c r="DR179" s="1320"/>
      <c r="DS179" s="1320"/>
      <c r="DT179" s="1320"/>
      <c r="DU179" s="1320"/>
    </row>
    <row r="180" spans="1:125" s="592" customFormat="1" ht="16.5" customHeight="1">
      <c r="A180" s="714" t="s">
        <v>1373</v>
      </c>
      <c r="B180" s="789" t="s">
        <v>2501</v>
      </c>
      <c r="C180" s="1421"/>
      <c r="D180" s="741" t="s">
        <v>18</v>
      </c>
      <c r="E180" s="973"/>
      <c r="F180" s="973"/>
      <c r="G180" s="973"/>
      <c r="H180" s="782"/>
      <c r="I180" s="782"/>
      <c r="J180" s="782"/>
      <c r="K180" s="782"/>
      <c r="L180" s="782">
        <v>1</v>
      </c>
      <c r="M180" s="782"/>
      <c r="N180" s="774">
        <f t="shared" si="22"/>
        <v>1</v>
      </c>
      <c r="O180" s="771"/>
      <c r="P180" s="711">
        <f t="shared" si="18"/>
        <v>0</v>
      </c>
      <c r="Q180" s="1320"/>
      <c r="R180" s="1320"/>
      <c r="S180" s="1320"/>
      <c r="T180" s="1320"/>
      <c r="U180" s="1320"/>
      <c r="V180" s="1320"/>
      <c r="W180" s="1320"/>
      <c r="X180" s="1320"/>
      <c r="Y180" s="1320"/>
      <c r="Z180" s="1320"/>
      <c r="AA180" s="1320"/>
      <c r="AB180" s="1320"/>
      <c r="AC180" s="1320"/>
      <c r="AD180" s="1320"/>
      <c r="AE180" s="1320"/>
      <c r="AF180" s="1320"/>
      <c r="AG180" s="1320"/>
      <c r="AH180" s="1320"/>
      <c r="AI180" s="1320"/>
      <c r="AJ180" s="1320"/>
      <c r="AK180" s="1320"/>
      <c r="AL180" s="1320"/>
      <c r="AM180" s="1320"/>
      <c r="AN180" s="1320"/>
      <c r="AO180" s="1320"/>
      <c r="AP180" s="1320"/>
      <c r="AQ180" s="1320"/>
      <c r="AR180" s="1320"/>
      <c r="AS180" s="1320"/>
      <c r="AT180" s="1320"/>
      <c r="AU180" s="1320"/>
      <c r="AV180" s="1320"/>
      <c r="AW180" s="1320"/>
      <c r="AX180" s="1320"/>
      <c r="AY180" s="1320"/>
      <c r="AZ180" s="1320"/>
      <c r="BA180" s="1320"/>
      <c r="BB180" s="1320"/>
      <c r="BC180" s="1320"/>
      <c r="BD180" s="1320"/>
      <c r="BE180" s="1320"/>
      <c r="BF180" s="1320"/>
      <c r="BG180" s="1320"/>
      <c r="BH180" s="1320"/>
      <c r="BI180" s="1320"/>
      <c r="BJ180" s="1320"/>
      <c r="BK180" s="1320"/>
      <c r="BL180" s="1320"/>
      <c r="BM180" s="1320"/>
      <c r="BN180" s="1320"/>
      <c r="BO180" s="1320"/>
      <c r="BP180" s="1320"/>
      <c r="BQ180" s="1320"/>
      <c r="BR180" s="1320"/>
      <c r="BS180" s="1320"/>
      <c r="BT180" s="1320"/>
      <c r="BU180" s="1320"/>
      <c r="BV180" s="1320"/>
      <c r="BW180" s="1320"/>
      <c r="BX180" s="1320"/>
      <c r="BY180" s="1320"/>
      <c r="BZ180" s="1320"/>
      <c r="CA180" s="1320"/>
      <c r="CB180" s="1320"/>
      <c r="CC180" s="1320"/>
      <c r="CD180" s="1320"/>
      <c r="CE180" s="1320"/>
      <c r="CF180" s="1320"/>
      <c r="CG180" s="1320"/>
      <c r="CH180" s="1320"/>
      <c r="CI180" s="1320"/>
      <c r="CJ180" s="1320"/>
      <c r="CK180" s="1320"/>
      <c r="CL180" s="1320"/>
      <c r="CM180" s="1320"/>
      <c r="CN180" s="1320"/>
      <c r="CO180" s="1320"/>
      <c r="CP180" s="1320"/>
      <c r="CQ180" s="1320"/>
      <c r="CR180" s="1320"/>
      <c r="CS180" s="1320"/>
      <c r="CT180" s="1320"/>
      <c r="CU180" s="1320"/>
      <c r="CV180" s="1320"/>
      <c r="CW180" s="1320"/>
      <c r="CX180" s="1320"/>
      <c r="CY180" s="1320"/>
      <c r="CZ180" s="1320"/>
      <c r="DA180" s="1320"/>
      <c r="DB180" s="1320"/>
      <c r="DC180" s="1320"/>
      <c r="DD180" s="1320"/>
      <c r="DE180" s="1320"/>
      <c r="DF180" s="1320"/>
      <c r="DG180" s="1320"/>
      <c r="DH180" s="1320"/>
      <c r="DI180" s="1320"/>
      <c r="DJ180" s="1320"/>
      <c r="DK180" s="1320"/>
      <c r="DL180" s="1320"/>
      <c r="DM180" s="1320"/>
      <c r="DN180" s="1320"/>
      <c r="DO180" s="1320"/>
      <c r="DP180" s="1320"/>
      <c r="DQ180" s="1320"/>
      <c r="DR180" s="1320"/>
      <c r="DS180" s="1320"/>
      <c r="DT180" s="1320"/>
      <c r="DU180" s="1320"/>
    </row>
    <row r="181" spans="1:125" s="592" customFormat="1" ht="16.5" customHeight="1">
      <c r="A181" s="714" t="s">
        <v>1374</v>
      </c>
      <c r="B181" s="789" t="s">
        <v>2502</v>
      </c>
      <c r="C181" s="1421"/>
      <c r="D181" s="741" t="s">
        <v>18</v>
      </c>
      <c r="E181" s="973"/>
      <c r="F181" s="973"/>
      <c r="G181" s="973"/>
      <c r="H181" s="782">
        <v>500</v>
      </c>
      <c r="I181" s="782">
        <v>29</v>
      </c>
      <c r="J181" s="782">
        <v>286</v>
      </c>
      <c r="K181" s="782">
        <v>565</v>
      </c>
      <c r="L181" s="782">
        <v>103</v>
      </c>
      <c r="M181" s="782">
        <v>1022</v>
      </c>
      <c r="N181" s="774">
        <f t="shared" si="22"/>
        <v>2505</v>
      </c>
      <c r="O181" s="771"/>
      <c r="P181" s="711">
        <f t="shared" si="18"/>
        <v>0</v>
      </c>
      <c r="Q181" s="1320"/>
      <c r="R181" s="1320"/>
      <c r="S181" s="1320"/>
      <c r="T181" s="1320"/>
      <c r="U181" s="1320"/>
      <c r="V181" s="1320"/>
      <c r="W181" s="1320"/>
      <c r="X181" s="1320"/>
      <c r="Y181" s="1320"/>
      <c r="Z181" s="1320"/>
      <c r="AA181" s="1320"/>
      <c r="AB181" s="1320"/>
      <c r="AC181" s="1320"/>
      <c r="AD181" s="1320"/>
      <c r="AE181" s="1320"/>
      <c r="AF181" s="1320"/>
      <c r="AG181" s="1320"/>
      <c r="AH181" s="1320"/>
      <c r="AI181" s="1320"/>
      <c r="AJ181" s="1320"/>
      <c r="AK181" s="1320"/>
      <c r="AL181" s="1320"/>
      <c r="AM181" s="1320"/>
      <c r="AN181" s="1320"/>
      <c r="AO181" s="1320"/>
      <c r="AP181" s="1320"/>
      <c r="AQ181" s="1320"/>
      <c r="AR181" s="1320"/>
      <c r="AS181" s="1320"/>
      <c r="AT181" s="1320"/>
      <c r="AU181" s="1320"/>
      <c r="AV181" s="1320"/>
      <c r="AW181" s="1320"/>
      <c r="AX181" s="1320"/>
      <c r="AY181" s="1320"/>
      <c r="AZ181" s="1320"/>
      <c r="BA181" s="1320"/>
      <c r="BB181" s="1320"/>
      <c r="BC181" s="1320"/>
      <c r="BD181" s="1320"/>
      <c r="BE181" s="1320"/>
      <c r="BF181" s="1320"/>
      <c r="BG181" s="1320"/>
      <c r="BH181" s="1320"/>
      <c r="BI181" s="1320"/>
      <c r="BJ181" s="1320"/>
      <c r="BK181" s="1320"/>
      <c r="BL181" s="1320"/>
      <c r="BM181" s="1320"/>
      <c r="BN181" s="1320"/>
      <c r="BO181" s="1320"/>
      <c r="BP181" s="1320"/>
      <c r="BQ181" s="1320"/>
      <c r="BR181" s="1320"/>
      <c r="BS181" s="1320"/>
      <c r="BT181" s="1320"/>
      <c r="BU181" s="1320"/>
      <c r="BV181" s="1320"/>
      <c r="BW181" s="1320"/>
      <c r="BX181" s="1320"/>
      <c r="BY181" s="1320"/>
      <c r="BZ181" s="1320"/>
      <c r="CA181" s="1320"/>
      <c r="CB181" s="1320"/>
      <c r="CC181" s="1320"/>
      <c r="CD181" s="1320"/>
      <c r="CE181" s="1320"/>
      <c r="CF181" s="1320"/>
      <c r="CG181" s="1320"/>
      <c r="CH181" s="1320"/>
      <c r="CI181" s="1320"/>
      <c r="CJ181" s="1320"/>
      <c r="CK181" s="1320"/>
      <c r="CL181" s="1320"/>
      <c r="CM181" s="1320"/>
      <c r="CN181" s="1320"/>
      <c r="CO181" s="1320"/>
      <c r="CP181" s="1320"/>
      <c r="CQ181" s="1320"/>
      <c r="CR181" s="1320"/>
      <c r="CS181" s="1320"/>
      <c r="CT181" s="1320"/>
      <c r="CU181" s="1320"/>
      <c r="CV181" s="1320"/>
      <c r="CW181" s="1320"/>
      <c r="CX181" s="1320"/>
      <c r="CY181" s="1320"/>
      <c r="CZ181" s="1320"/>
      <c r="DA181" s="1320"/>
      <c r="DB181" s="1320"/>
      <c r="DC181" s="1320"/>
      <c r="DD181" s="1320"/>
      <c r="DE181" s="1320"/>
      <c r="DF181" s="1320"/>
      <c r="DG181" s="1320"/>
      <c r="DH181" s="1320"/>
      <c r="DI181" s="1320"/>
      <c r="DJ181" s="1320"/>
      <c r="DK181" s="1320"/>
      <c r="DL181" s="1320"/>
      <c r="DM181" s="1320"/>
      <c r="DN181" s="1320"/>
      <c r="DO181" s="1320"/>
      <c r="DP181" s="1320"/>
      <c r="DQ181" s="1320"/>
      <c r="DR181" s="1320"/>
      <c r="DS181" s="1320"/>
      <c r="DT181" s="1320"/>
      <c r="DU181" s="1320"/>
    </row>
    <row r="182" spans="1:125" s="592" customFormat="1" ht="16.5" customHeight="1">
      <c r="A182" s="714" t="s">
        <v>1375</v>
      </c>
      <c r="B182" s="789" t="s">
        <v>2503</v>
      </c>
      <c r="C182" s="1421"/>
      <c r="D182" s="741" t="s">
        <v>18</v>
      </c>
      <c r="E182" s="973">
        <v>2</v>
      </c>
      <c r="F182" s="973">
        <v>8</v>
      </c>
      <c r="G182" s="973"/>
      <c r="H182" s="782"/>
      <c r="I182" s="782"/>
      <c r="J182" s="782"/>
      <c r="K182" s="782"/>
      <c r="L182" s="782"/>
      <c r="M182" s="782"/>
      <c r="N182" s="774">
        <f t="shared" si="22"/>
        <v>10</v>
      </c>
      <c r="O182" s="771"/>
      <c r="P182" s="711">
        <f t="shared" si="18"/>
        <v>0</v>
      </c>
      <c r="Q182" s="1320"/>
      <c r="R182" s="1320"/>
      <c r="S182" s="1320"/>
      <c r="T182" s="1320"/>
      <c r="U182" s="1320"/>
      <c r="V182" s="1320"/>
      <c r="W182" s="1320"/>
      <c r="X182" s="1320"/>
      <c r="Y182" s="1320"/>
      <c r="Z182" s="1320"/>
      <c r="AA182" s="1320"/>
      <c r="AB182" s="1320"/>
      <c r="AC182" s="1320"/>
      <c r="AD182" s="1320"/>
      <c r="AE182" s="1320"/>
      <c r="AF182" s="1320"/>
      <c r="AG182" s="1320"/>
      <c r="AH182" s="1320"/>
      <c r="AI182" s="1320"/>
      <c r="AJ182" s="1320"/>
      <c r="AK182" s="1320"/>
      <c r="AL182" s="1320"/>
      <c r="AM182" s="1320"/>
      <c r="AN182" s="1320"/>
      <c r="AO182" s="1320"/>
      <c r="AP182" s="1320"/>
      <c r="AQ182" s="1320"/>
      <c r="AR182" s="1320"/>
      <c r="AS182" s="1320"/>
      <c r="AT182" s="1320"/>
      <c r="AU182" s="1320"/>
      <c r="AV182" s="1320"/>
      <c r="AW182" s="1320"/>
      <c r="AX182" s="1320"/>
      <c r="AY182" s="1320"/>
      <c r="AZ182" s="1320"/>
      <c r="BA182" s="1320"/>
      <c r="BB182" s="1320"/>
      <c r="BC182" s="1320"/>
      <c r="BD182" s="1320"/>
      <c r="BE182" s="1320"/>
      <c r="BF182" s="1320"/>
      <c r="BG182" s="1320"/>
      <c r="BH182" s="1320"/>
      <c r="BI182" s="1320"/>
      <c r="BJ182" s="1320"/>
      <c r="BK182" s="1320"/>
      <c r="BL182" s="1320"/>
      <c r="BM182" s="1320"/>
      <c r="BN182" s="1320"/>
      <c r="BO182" s="1320"/>
      <c r="BP182" s="1320"/>
      <c r="BQ182" s="1320"/>
      <c r="BR182" s="1320"/>
      <c r="BS182" s="1320"/>
      <c r="BT182" s="1320"/>
      <c r="BU182" s="1320"/>
      <c r="BV182" s="1320"/>
      <c r="BW182" s="1320"/>
      <c r="BX182" s="1320"/>
      <c r="BY182" s="1320"/>
      <c r="BZ182" s="1320"/>
      <c r="CA182" s="1320"/>
      <c r="CB182" s="1320"/>
      <c r="CC182" s="1320"/>
      <c r="CD182" s="1320"/>
      <c r="CE182" s="1320"/>
      <c r="CF182" s="1320"/>
      <c r="CG182" s="1320"/>
      <c r="CH182" s="1320"/>
      <c r="CI182" s="1320"/>
      <c r="CJ182" s="1320"/>
      <c r="CK182" s="1320"/>
      <c r="CL182" s="1320"/>
      <c r="CM182" s="1320"/>
      <c r="CN182" s="1320"/>
      <c r="CO182" s="1320"/>
      <c r="CP182" s="1320"/>
      <c r="CQ182" s="1320"/>
      <c r="CR182" s="1320"/>
      <c r="CS182" s="1320"/>
      <c r="CT182" s="1320"/>
      <c r="CU182" s="1320"/>
      <c r="CV182" s="1320"/>
      <c r="CW182" s="1320"/>
      <c r="CX182" s="1320"/>
      <c r="CY182" s="1320"/>
      <c r="CZ182" s="1320"/>
      <c r="DA182" s="1320"/>
      <c r="DB182" s="1320"/>
      <c r="DC182" s="1320"/>
      <c r="DD182" s="1320"/>
      <c r="DE182" s="1320"/>
      <c r="DF182" s="1320"/>
      <c r="DG182" s="1320"/>
      <c r="DH182" s="1320"/>
      <c r="DI182" s="1320"/>
      <c r="DJ182" s="1320"/>
      <c r="DK182" s="1320"/>
      <c r="DL182" s="1320"/>
      <c r="DM182" s="1320"/>
      <c r="DN182" s="1320"/>
      <c r="DO182" s="1320"/>
      <c r="DP182" s="1320"/>
      <c r="DQ182" s="1320"/>
      <c r="DR182" s="1320"/>
      <c r="DS182" s="1320"/>
      <c r="DT182" s="1320"/>
      <c r="DU182" s="1320"/>
    </row>
    <row r="183" spans="1:125" s="592" customFormat="1" ht="16.5" customHeight="1">
      <c r="A183" s="714" t="s">
        <v>1376</v>
      </c>
      <c r="B183" s="789" t="s">
        <v>2504</v>
      </c>
      <c r="C183" s="1421"/>
      <c r="D183" s="741" t="s">
        <v>18</v>
      </c>
      <c r="E183" s="973">
        <v>10</v>
      </c>
      <c r="F183" s="973">
        <v>3</v>
      </c>
      <c r="G183" s="973"/>
      <c r="H183" s="782">
        <v>1</v>
      </c>
      <c r="I183" s="782"/>
      <c r="J183" s="782"/>
      <c r="K183" s="782"/>
      <c r="L183" s="782"/>
      <c r="M183" s="782"/>
      <c r="N183" s="774">
        <f t="shared" si="22"/>
        <v>14</v>
      </c>
      <c r="O183" s="771"/>
      <c r="P183" s="711">
        <f t="shared" si="18"/>
        <v>0</v>
      </c>
      <c r="Q183" s="1320"/>
      <c r="R183" s="1320"/>
      <c r="S183" s="1320"/>
      <c r="T183" s="1320"/>
      <c r="U183" s="1320"/>
      <c r="V183" s="1320"/>
      <c r="W183" s="1320"/>
      <c r="X183" s="1320"/>
      <c r="Y183" s="1320"/>
      <c r="Z183" s="1320"/>
      <c r="AA183" s="1320"/>
      <c r="AB183" s="1320"/>
      <c r="AC183" s="1320"/>
      <c r="AD183" s="1320"/>
      <c r="AE183" s="1320"/>
      <c r="AF183" s="1320"/>
      <c r="AG183" s="1320"/>
      <c r="AH183" s="1320"/>
      <c r="AI183" s="1320"/>
      <c r="AJ183" s="1320"/>
      <c r="AK183" s="1320"/>
      <c r="AL183" s="1320"/>
      <c r="AM183" s="1320"/>
      <c r="AN183" s="1320"/>
      <c r="AO183" s="1320"/>
      <c r="AP183" s="1320"/>
      <c r="AQ183" s="1320"/>
      <c r="AR183" s="1320"/>
      <c r="AS183" s="1320"/>
      <c r="AT183" s="1320"/>
      <c r="AU183" s="1320"/>
      <c r="AV183" s="1320"/>
      <c r="AW183" s="1320"/>
      <c r="AX183" s="1320"/>
      <c r="AY183" s="1320"/>
      <c r="AZ183" s="1320"/>
      <c r="BA183" s="1320"/>
      <c r="BB183" s="1320"/>
      <c r="BC183" s="1320"/>
      <c r="BD183" s="1320"/>
      <c r="BE183" s="1320"/>
      <c r="BF183" s="1320"/>
      <c r="BG183" s="1320"/>
      <c r="BH183" s="1320"/>
      <c r="BI183" s="1320"/>
      <c r="BJ183" s="1320"/>
      <c r="BK183" s="1320"/>
      <c r="BL183" s="1320"/>
      <c r="BM183" s="1320"/>
      <c r="BN183" s="1320"/>
      <c r="BO183" s="1320"/>
      <c r="BP183" s="1320"/>
      <c r="BQ183" s="1320"/>
      <c r="BR183" s="1320"/>
      <c r="BS183" s="1320"/>
      <c r="BT183" s="1320"/>
      <c r="BU183" s="1320"/>
      <c r="BV183" s="1320"/>
      <c r="BW183" s="1320"/>
      <c r="BX183" s="1320"/>
      <c r="BY183" s="1320"/>
      <c r="BZ183" s="1320"/>
      <c r="CA183" s="1320"/>
      <c r="CB183" s="1320"/>
      <c r="CC183" s="1320"/>
      <c r="CD183" s="1320"/>
      <c r="CE183" s="1320"/>
      <c r="CF183" s="1320"/>
      <c r="CG183" s="1320"/>
      <c r="CH183" s="1320"/>
      <c r="CI183" s="1320"/>
      <c r="CJ183" s="1320"/>
      <c r="CK183" s="1320"/>
      <c r="CL183" s="1320"/>
      <c r="CM183" s="1320"/>
      <c r="CN183" s="1320"/>
      <c r="CO183" s="1320"/>
      <c r="CP183" s="1320"/>
      <c r="CQ183" s="1320"/>
      <c r="CR183" s="1320"/>
      <c r="CS183" s="1320"/>
      <c r="CT183" s="1320"/>
      <c r="CU183" s="1320"/>
      <c r="CV183" s="1320"/>
      <c r="CW183" s="1320"/>
      <c r="CX183" s="1320"/>
      <c r="CY183" s="1320"/>
      <c r="CZ183" s="1320"/>
      <c r="DA183" s="1320"/>
      <c r="DB183" s="1320"/>
      <c r="DC183" s="1320"/>
      <c r="DD183" s="1320"/>
      <c r="DE183" s="1320"/>
      <c r="DF183" s="1320"/>
      <c r="DG183" s="1320"/>
      <c r="DH183" s="1320"/>
      <c r="DI183" s="1320"/>
      <c r="DJ183" s="1320"/>
      <c r="DK183" s="1320"/>
      <c r="DL183" s="1320"/>
      <c r="DM183" s="1320"/>
      <c r="DN183" s="1320"/>
      <c r="DO183" s="1320"/>
      <c r="DP183" s="1320"/>
      <c r="DQ183" s="1320"/>
      <c r="DR183" s="1320"/>
      <c r="DS183" s="1320"/>
      <c r="DT183" s="1320"/>
      <c r="DU183" s="1320"/>
    </row>
    <row r="184" spans="1:125" s="592" customFormat="1" ht="16.5" customHeight="1">
      <c r="A184" s="714" t="s">
        <v>1377</v>
      </c>
      <c r="B184" s="789" t="s">
        <v>2505</v>
      </c>
      <c r="C184" s="1421"/>
      <c r="D184" s="741" t="s">
        <v>18</v>
      </c>
      <c r="E184" s="973">
        <v>6</v>
      </c>
      <c r="F184" s="973">
        <v>2</v>
      </c>
      <c r="G184" s="973"/>
      <c r="H184" s="782"/>
      <c r="I184" s="782"/>
      <c r="J184" s="782"/>
      <c r="K184" s="782"/>
      <c r="L184" s="782"/>
      <c r="M184" s="782"/>
      <c r="N184" s="774">
        <f t="shared" si="22"/>
        <v>8</v>
      </c>
      <c r="O184" s="771"/>
      <c r="P184" s="711">
        <f t="shared" si="18"/>
        <v>0</v>
      </c>
      <c r="Q184" s="1320"/>
      <c r="R184" s="1320"/>
      <c r="S184" s="1320"/>
      <c r="T184" s="1320"/>
      <c r="U184" s="1320"/>
      <c r="V184" s="1320"/>
      <c r="W184" s="1320"/>
      <c r="X184" s="1320"/>
      <c r="Y184" s="1320"/>
      <c r="Z184" s="1320"/>
      <c r="AA184" s="1320"/>
      <c r="AB184" s="1320"/>
      <c r="AC184" s="1320"/>
      <c r="AD184" s="1320"/>
      <c r="AE184" s="1320"/>
      <c r="AF184" s="1320"/>
      <c r="AG184" s="1320"/>
      <c r="AH184" s="1320"/>
      <c r="AI184" s="1320"/>
      <c r="AJ184" s="1320"/>
      <c r="AK184" s="1320"/>
      <c r="AL184" s="1320"/>
      <c r="AM184" s="1320"/>
      <c r="AN184" s="1320"/>
      <c r="AO184" s="1320"/>
      <c r="AP184" s="1320"/>
      <c r="AQ184" s="1320"/>
      <c r="AR184" s="1320"/>
      <c r="AS184" s="1320"/>
      <c r="AT184" s="1320"/>
      <c r="AU184" s="1320"/>
      <c r="AV184" s="1320"/>
      <c r="AW184" s="1320"/>
      <c r="AX184" s="1320"/>
      <c r="AY184" s="1320"/>
      <c r="AZ184" s="1320"/>
      <c r="BA184" s="1320"/>
      <c r="BB184" s="1320"/>
      <c r="BC184" s="1320"/>
      <c r="BD184" s="1320"/>
      <c r="BE184" s="1320"/>
      <c r="BF184" s="1320"/>
      <c r="BG184" s="1320"/>
      <c r="BH184" s="1320"/>
      <c r="BI184" s="1320"/>
      <c r="BJ184" s="1320"/>
      <c r="BK184" s="1320"/>
      <c r="BL184" s="1320"/>
      <c r="BM184" s="1320"/>
      <c r="BN184" s="1320"/>
      <c r="BO184" s="1320"/>
      <c r="BP184" s="1320"/>
      <c r="BQ184" s="1320"/>
      <c r="BR184" s="1320"/>
      <c r="BS184" s="1320"/>
      <c r="BT184" s="1320"/>
      <c r="BU184" s="1320"/>
      <c r="BV184" s="1320"/>
      <c r="BW184" s="1320"/>
      <c r="BX184" s="1320"/>
      <c r="BY184" s="1320"/>
      <c r="BZ184" s="1320"/>
      <c r="CA184" s="1320"/>
      <c r="CB184" s="1320"/>
      <c r="CC184" s="1320"/>
      <c r="CD184" s="1320"/>
      <c r="CE184" s="1320"/>
      <c r="CF184" s="1320"/>
      <c r="CG184" s="1320"/>
      <c r="CH184" s="1320"/>
      <c r="CI184" s="1320"/>
      <c r="CJ184" s="1320"/>
      <c r="CK184" s="1320"/>
      <c r="CL184" s="1320"/>
      <c r="CM184" s="1320"/>
      <c r="CN184" s="1320"/>
      <c r="CO184" s="1320"/>
      <c r="CP184" s="1320"/>
      <c r="CQ184" s="1320"/>
      <c r="CR184" s="1320"/>
      <c r="CS184" s="1320"/>
      <c r="CT184" s="1320"/>
      <c r="CU184" s="1320"/>
      <c r="CV184" s="1320"/>
      <c r="CW184" s="1320"/>
      <c r="CX184" s="1320"/>
      <c r="CY184" s="1320"/>
      <c r="CZ184" s="1320"/>
      <c r="DA184" s="1320"/>
      <c r="DB184" s="1320"/>
      <c r="DC184" s="1320"/>
      <c r="DD184" s="1320"/>
      <c r="DE184" s="1320"/>
      <c r="DF184" s="1320"/>
      <c r="DG184" s="1320"/>
      <c r="DH184" s="1320"/>
      <c r="DI184" s="1320"/>
      <c r="DJ184" s="1320"/>
      <c r="DK184" s="1320"/>
      <c r="DL184" s="1320"/>
      <c r="DM184" s="1320"/>
      <c r="DN184" s="1320"/>
      <c r="DO184" s="1320"/>
      <c r="DP184" s="1320"/>
      <c r="DQ184" s="1320"/>
      <c r="DR184" s="1320"/>
      <c r="DS184" s="1320"/>
      <c r="DT184" s="1320"/>
      <c r="DU184" s="1320"/>
    </row>
    <row r="185" spans="1:125" s="592" customFormat="1" ht="16.5" customHeight="1">
      <c r="A185" s="714" t="s">
        <v>1378</v>
      </c>
      <c r="B185" s="789" t="s">
        <v>2506</v>
      </c>
      <c r="C185" s="1421"/>
      <c r="D185" s="741" t="s">
        <v>18</v>
      </c>
      <c r="E185" s="973"/>
      <c r="F185" s="973">
        <v>2</v>
      </c>
      <c r="G185" s="973"/>
      <c r="H185" s="782"/>
      <c r="I185" s="782"/>
      <c r="J185" s="782"/>
      <c r="K185" s="782"/>
      <c r="L185" s="782"/>
      <c r="M185" s="782"/>
      <c r="N185" s="774">
        <f t="shared" si="22"/>
        <v>2</v>
      </c>
      <c r="O185" s="771"/>
      <c r="P185" s="711">
        <f t="shared" si="18"/>
        <v>0</v>
      </c>
      <c r="Q185" s="1320"/>
      <c r="R185" s="1320"/>
      <c r="S185" s="1320"/>
      <c r="T185" s="1320"/>
      <c r="U185" s="1320"/>
      <c r="V185" s="1320"/>
      <c r="W185" s="1320"/>
      <c r="X185" s="1320"/>
      <c r="Y185" s="1320"/>
      <c r="Z185" s="1320"/>
      <c r="AA185" s="1320"/>
      <c r="AB185" s="1320"/>
      <c r="AC185" s="1320"/>
      <c r="AD185" s="1320"/>
      <c r="AE185" s="1320"/>
      <c r="AF185" s="1320"/>
      <c r="AG185" s="1320"/>
      <c r="AH185" s="1320"/>
      <c r="AI185" s="1320"/>
      <c r="AJ185" s="1320"/>
      <c r="AK185" s="1320"/>
      <c r="AL185" s="1320"/>
      <c r="AM185" s="1320"/>
      <c r="AN185" s="1320"/>
      <c r="AO185" s="1320"/>
      <c r="AP185" s="1320"/>
      <c r="AQ185" s="1320"/>
      <c r="AR185" s="1320"/>
      <c r="AS185" s="1320"/>
      <c r="AT185" s="1320"/>
      <c r="AU185" s="1320"/>
      <c r="AV185" s="1320"/>
      <c r="AW185" s="1320"/>
      <c r="AX185" s="1320"/>
      <c r="AY185" s="1320"/>
      <c r="AZ185" s="1320"/>
      <c r="BA185" s="1320"/>
      <c r="BB185" s="1320"/>
      <c r="BC185" s="1320"/>
      <c r="BD185" s="1320"/>
      <c r="BE185" s="1320"/>
      <c r="BF185" s="1320"/>
      <c r="BG185" s="1320"/>
      <c r="BH185" s="1320"/>
      <c r="BI185" s="1320"/>
      <c r="BJ185" s="1320"/>
      <c r="BK185" s="1320"/>
      <c r="BL185" s="1320"/>
      <c r="BM185" s="1320"/>
      <c r="BN185" s="1320"/>
      <c r="BO185" s="1320"/>
      <c r="BP185" s="1320"/>
      <c r="BQ185" s="1320"/>
      <c r="BR185" s="1320"/>
      <c r="BS185" s="1320"/>
      <c r="BT185" s="1320"/>
      <c r="BU185" s="1320"/>
      <c r="BV185" s="1320"/>
      <c r="BW185" s="1320"/>
      <c r="BX185" s="1320"/>
      <c r="BY185" s="1320"/>
      <c r="BZ185" s="1320"/>
      <c r="CA185" s="1320"/>
      <c r="CB185" s="1320"/>
      <c r="CC185" s="1320"/>
      <c r="CD185" s="1320"/>
      <c r="CE185" s="1320"/>
      <c r="CF185" s="1320"/>
      <c r="CG185" s="1320"/>
      <c r="CH185" s="1320"/>
      <c r="CI185" s="1320"/>
      <c r="CJ185" s="1320"/>
      <c r="CK185" s="1320"/>
      <c r="CL185" s="1320"/>
      <c r="CM185" s="1320"/>
      <c r="CN185" s="1320"/>
      <c r="CO185" s="1320"/>
      <c r="CP185" s="1320"/>
      <c r="CQ185" s="1320"/>
      <c r="CR185" s="1320"/>
      <c r="CS185" s="1320"/>
      <c r="CT185" s="1320"/>
      <c r="CU185" s="1320"/>
      <c r="CV185" s="1320"/>
      <c r="CW185" s="1320"/>
      <c r="CX185" s="1320"/>
      <c r="CY185" s="1320"/>
      <c r="CZ185" s="1320"/>
      <c r="DA185" s="1320"/>
      <c r="DB185" s="1320"/>
      <c r="DC185" s="1320"/>
      <c r="DD185" s="1320"/>
      <c r="DE185" s="1320"/>
      <c r="DF185" s="1320"/>
      <c r="DG185" s="1320"/>
      <c r="DH185" s="1320"/>
      <c r="DI185" s="1320"/>
      <c r="DJ185" s="1320"/>
      <c r="DK185" s="1320"/>
      <c r="DL185" s="1320"/>
      <c r="DM185" s="1320"/>
      <c r="DN185" s="1320"/>
      <c r="DO185" s="1320"/>
      <c r="DP185" s="1320"/>
      <c r="DQ185" s="1320"/>
      <c r="DR185" s="1320"/>
      <c r="DS185" s="1320"/>
      <c r="DT185" s="1320"/>
      <c r="DU185" s="1320"/>
    </row>
    <row r="186" spans="1:125" s="592" customFormat="1" ht="16.5" customHeight="1">
      <c r="A186" s="714" t="s">
        <v>1379</v>
      </c>
      <c r="B186" s="789" t="s">
        <v>2507</v>
      </c>
      <c r="C186" s="1421"/>
      <c r="D186" s="741" t="s">
        <v>18</v>
      </c>
      <c r="E186" s="973"/>
      <c r="F186" s="973">
        <v>2</v>
      </c>
      <c r="G186" s="973"/>
      <c r="H186" s="782"/>
      <c r="I186" s="782"/>
      <c r="J186" s="782"/>
      <c r="K186" s="782"/>
      <c r="L186" s="782"/>
      <c r="M186" s="782"/>
      <c r="N186" s="774">
        <f t="shared" si="22"/>
        <v>2</v>
      </c>
      <c r="O186" s="771"/>
      <c r="P186" s="711">
        <f t="shared" si="18"/>
        <v>0</v>
      </c>
      <c r="Q186" s="1320"/>
      <c r="R186" s="1320"/>
      <c r="S186" s="1320"/>
      <c r="T186" s="1320"/>
      <c r="U186" s="1320"/>
      <c r="V186" s="1320"/>
      <c r="W186" s="1320"/>
      <c r="X186" s="1320"/>
      <c r="Y186" s="1320"/>
      <c r="Z186" s="1320"/>
      <c r="AA186" s="1320"/>
      <c r="AB186" s="1320"/>
      <c r="AC186" s="1320"/>
      <c r="AD186" s="1320"/>
      <c r="AE186" s="1320"/>
      <c r="AF186" s="1320"/>
      <c r="AG186" s="1320"/>
      <c r="AH186" s="1320"/>
      <c r="AI186" s="1320"/>
      <c r="AJ186" s="1320"/>
      <c r="AK186" s="1320"/>
      <c r="AL186" s="1320"/>
      <c r="AM186" s="1320"/>
      <c r="AN186" s="1320"/>
      <c r="AO186" s="1320"/>
      <c r="AP186" s="1320"/>
      <c r="AQ186" s="1320"/>
      <c r="AR186" s="1320"/>
      <c r="AS186" s="1320"/>
      <c r="AT186" s="1320"/>
      <c r="AU186" s="1320"/>
      <c r="AV186" s="1320"/>
      <c r="AW186" s="1320"/>
      <c r="AX186" s="1320"/>
      <c r="AY186" s="1320"/>
      <c r="AZ186" s="1320"/>
      <c r="BA186" s="1320"/>
      <c r="BB186" s="1320"/>
      <c r="BC186" s="1320"/>
      <c r="BD186" s="1320"/>
      <c r="BE186" s="1320"/>
      <c r="BF186" s="1320"/>
      <c r="BG186" s="1320"/>
      <c r="BH186" s="1320"/>
      <c r="BI186" s="1320"/>
      <c r="BJ186" s="1320"/>
      <c r="BK186" s="1320"/>
      <c r="BL186" s="1320"/>
      <c r="BM186" s="1320"/>
      <c r="BN186" s="1320"/>
      <c r="BO186" s="1320"/>
      <c r="BP186" s="1320"/>
      <c r="BQ186" s="1320"/>
      <c r="BR186" s="1320"/>
      <c r="BS186" s="1320"/>
      <c r="BT186" s="1320"/>
      <c r="BU186" s="1320"/>
      <c r="BV186" s="1320"/>
      <c r="BW186" s="1320"/>
      <c r="BX186" s="1320"/>
      <c r="BY186" s="1320"/>
      <c r="BZ186" s="1320"/>
      <c r="CA186" s="1320"/>
      <c r="CB186" s="1320"/>
      <c r="CC186" s="1320"/>
      <c r="CD186" s="1320"/>
      <c r="CE186" s="1320"/>
      <c r="CF186" s="1320"/>
      <c r="CG186" s="1320"/>
      <c r="CH186" s="1320"/>
      <c r="CI186" s="1320"/>
      <c r="CJ186" s="1320"/>
      <c r="CK186" s="1320"/>
      <c r="CL186" s="1320"/>
      <c r="CM186" s="1320"/>
      <c r="CN186" s="1320"/>
      <c r="CO186" s="1320"/>
      <c r="CP186" s="1320"/>
      <c r="CQ186" s="1320"/>
      <c r="CR186" s="1320"/>
      <c r="CS186" s="1320"/>
      <c r="CT186" s="1320"/>
      <c r="CU186" s="1320"/>
      <c r="CV186" s="1320"/>
      <c r="CW186" s="1320"/>
      <c r="CX186" s="1320"/>
      <c r="CY186" s="1320"/>
      <c r="CZ186" s="1320"/>
      <c r="DA186" s="1320"/>
      <c r="DB186" s="1320"/>
      <c r="DC186" s="1320"/>
      <c r="DD186" s="1320"/>
      <c r="DE186" s="1320"/>
      <c r="DF186" s="1320"/>
      <c r="DG186" s="1320"/>
      <c r="DH186" s="1320"/>
      <c r="DI186" s="1320"/>
      <c r="DJ186" s="1320"/>
      <c r="DK186" s="1320"/>
      <c r="DL186" s="1320"/>
      <c r="DM186" s="1320"/>
      <c r="DN186" s="1320"/>
      <c r="DO186" s="1320"/>
      <c r="DP186" s="1320"/>
      <c r="DQ186" s="1320"/>
      <c r="DR186" s="1320"/>
      <c r="DS186" s="1320"/>
      <c r="DT186" s="1320"/>
      <c r="DU186" s="1320"/>
    </row>
    <row r="187" spans="1:125" s="592" customFormat="1" ht="16.5" customHeight="1">
      <c r="A187" s="714" t="s">
        <v>1380</v>
      </c>
      <c r="B187" s="789" t="s">
        <v>632</v>
      </c>
      <c r="C187" s="1421"/>
      <c r="D187" s="790" t="s">
        <v>611</v>
      </c>
      <c r="E187" s="973"/>
      <c r="F187" s="973"/>
      <c r="G187" s="973"/>
      <c r="H187" s="782"/>
      <c r="I187" s="782"/>
      <c r="J187" s="782"/>
      <c r="K187" s="782">
        <v>22</v>
      </c>
      <c r="L187" s="782"/>
      <c r="M187" s="782"/>
      <c r="N187" s="774">
        <f t="shared" si="22"/>
        <v>22</v>
      </c>
      <c r="O187" s="771"/>
      <c r="P187" s="711">
        <f t="shared" si="18"/>
        <v>0</v>
      </c>
      <c r="Q187" s="1320"/>
      <c r="R187" s="1320"/>
      <c r="S187" s="1320"/>
      <c r="T187" s="1320"/>
      <c r="U187" s="1320"/>
      <c r="V187" s="1320"/>
      <c r="W187" s="1320"/>
      <c r="X187" s="1320"/>
      <c r="Y187" s="1320"/>
      <c r="Z187" s="1320"/>
      <c r="AA187" s="1320"/>
      <c r="AB187" s="1320"/>
      <c r="AC187" s="1320"/>
      <c r="AD187" s="1320"/>
      <c r="AE187" s="1320"/>
      <c r="AF187" s="1320"/>
      <c r="AG187" s="1320"/>
      <c r="AH187" s="1320"/>
      <c r="AI187" s="1320"/>
      <c r="AJ187" s="1320"/>
      <c r="AK187" s="1320"/>
      <c r="AL187" s="1320"/>
      <c r="AM187" s="1320"/>
      <c r="AN187" s="1320"/>
      <c r="AO187" s="1320"/>
      <c r="AP187" s="1320"/>
      <c r="AQ187" s="1320"/>
      <c r="AR187" s="1320"/>
      <c r="AS187" s="1320"/>
      <c r="AT187" s="1320"/>
      <c r="AU187" s="1320"/>
      <c r="AV187" s="1320"/>
      <c r="AW187" s="1320"/>
      <c r="AX187" s="1320"/>
      <c r="AY187" s="1320"/>
      <c r="AZ187" s="1320"/>
      <c r="BA187" s="1320"/>
      <c r="BB187" s="1320"/>
      <c r="BC187" s="1320"/>
      <c r="BD187" s="1320"/>
      <c r="BE187" s="1320"/>
      <c r="BF187" s="1320"/>
      <c r="BG187" s="1320"/>
      <c r="BH187" s="1320"/>
      <c r="BI187" s="1320"/>
      <c r="BJ187" s="1320"/>
      <c r="BK187" s="1320"/>
      <c r="BL187" s="1320"/>
      <c r="BM187" s="1320"/>
      <c r="BN187" s="1320"/>
      <c r="BO187" s="1320"/>
      <c r="BP187" s="1320"/>
      <c r="BQ187" s="1320"/>
      <c r="BR187" s="1320"/>
      <c r="BS187" s="1320"/>
      <c r="BT187" s="1320"/>
      <c r="BU187" s="1320"/>
      <c r="BV187" s="1320"/>
      <c r="BW187" s="1320"/>
      <c r="BX187" s="1320"/>
      <c r="BY187" s="1320"/>
      <c r="BZ187" s="1320"/>
      <c r="CA187" s="1320"/>
      <c r="CB187" s="1320"/>
      <c r="CC187" s="1320"/>
      <c r="CD187" s="1320"/>
      <c r="CE187" s="1320"/>
      <c r="CF187" s="1320"/>
      <c r="CG187" s="1320"/>
      <c r="CH187" s="1320"/>
      <c r="CI187" s="1320"/>
      <c r="CJ187" s="1320"/>
      <c r="CK187" s="1320"/>
      <c r="CL187" s="1320"/>
      <c r="CM187" s="1320"/>
      <c r="CN187" s="1320"/>
      <c r="CO187" s="1320"/>
      <c r="CP187" s="1320"/>
      <c r="CQ187" s="1320"/>
      <c r="CR187" s="1320"/>
      <c r="CS187" s="1320"/>
      <c r="CT187" s="1320"/>
      <c r="CU187" s="1320"/>
      <c r="CV187" s="1320"/>
      <c r="CW187" s="1320"/>
      <c r="CX187" s="1320"/>
      <c r="CY187" s="1320"/>
      <c r="CZ187" s="1320"/>
      <c r="DA187" s="1320"/>
      <c r="DB187" s="1320"/>
      <c r="DC187" s="1320"/>
      <c r="DD187" s="1320"/>
      <c r="DE187" s="1320"/>
      <c r="DF187" s="1320"/>
      <c r="DG187" s="1320"/>
      <c r="DH187" s="1320"/>
      <c r="DI187" s="1320"/>
      <c r="DJ187" s="1320"/>
      <c r="DK187" s="1320"/>
      <c r="DL187" s="1320"/>
      <c r="DM187" s="1320"/>
      <c r="DN187" s="1320"/>
      <c r="DO187" s="1320"/>
      <c r="DP187" s="1320"/>
      <c r="DQ187" s="1320"/>
      <c r="DR187" s="1320"/>
      <c r="DS187" s="1320"/>
      <c r="DT187" s="1320"/>
      <c r="DU187" s="1320"/>
    </row>
    <row r="188" spans="1:125" s="592" customFormat="1" ht="16.5" customHeight="1">
      <c r="A188" s="714" t="s">
        <v>1381</v>
      </c>
      <c r="B188" s="789" t="s">
        <v>628</v>
      </c>
      <c r="C188" s="1421"/>
      <c r="D188" s="790" t="s">
        <v>611</v>
      </c>
      <c r="E188" s="973"/>
      <c r="F188" s="973"/>
      <c r="G188" s="973"/>
      <c r="H188" s="782">
        <v>1</v>
      </c>
      <c r="I188" s="782"/>
      <c r="J188" s="782"/>
      <c r="K188" s="782"/>
      <c r="L188" s="782"/>
      <c r="M188" s="782">
        <v>1</v>
      </c>
      <c r="N188" s="774">
        <f t="shared" si="22"/>
        <v>2</v>
      </c>
      <c r="O188" s="771"/>
      <c r="P188" s="711">
        <f t="shared" si="18"/>
        <v>0</v>
      </c>
      <c r="Q188" s="1320"/>
      <c r="R188" s="1320"/>
      <c r="S188" s="1320"/>
      <c r="T188" s="1320"/>
      <c r="U188" s="1320"/>
      <c r="V188" s="1320"/>
      <c r="W188" s="1320"/>
      <c r="X188" s="1320"/>
      <c r="Y188" s="1320"/>
      <c r="Z188" s="1320"/>
      <c r="AA188" s="1320"/>
      <c r="AB188" s="1320"/>
      <c r="AC188" s="1320"/>
      <c r="AD188" s="1320"/>
      <c r="AE188" s="1320"/>
      <c r="AF188" s="1320"/>
      <c r="AG188" s="1320"/>
      <c r="AH188" s="1320"/>
      <c r="AI188" s="1320"/>
      <c r="AJ188" s="1320"/>
      <c r="AK188" s="1320"/>
      <c r="AL188" s="1320"/>
      <c r="AM188" s="1320"/>
      <c r="AN188" s="1320"/>
      <c r="AO188" s="1320"/>
      <c r="AP188" s="1320"/>
      <c r="AQ188" s="1320"/>
      <c r="AR188" s="1320"/>
      <c r="AS188" s="1320"/>
      <c r="AT188" s="1320"/>
      <c r="AU188" s="1320"/>
      <c r="AV188" s="1320"/>
      <c r="AW188" s="1320"/>
      <c r="AX188" s="1320"/>
      <c r="AY188" s="1320"/>
      <c r="AZ188" s="1320"/>
      <c r="BA188" s="1320"/>
      <c r="BB188" s="1320"/>
      <c r="BC188" s="1320"/>
      <c r="BD188" s="1320"/>
      <c r="BE188" s="1320"/>
      <c r="BF188" s="1320"/>
      <c r="BG188" s="1320"/>
      <c r="BH188" s="1320"/>
      <c r="BI188" s="1320"/>
      <c r="BJ188" s="1320"/>
      <c r="BK188" s="1320"/>
      <c r="BL188" s="1320"/>
      <c r="BM188" s="1320"/>
      <c r="BN188" s="1320"/>
      <c r="BO188" s="1320"/>
      <c r="BP188" s="1320"/>
      <c r="BQ188" s="1320"/>
      <c r="BR188" s="1320"/>
      <c r="BS188" s="1320"/>
      <c r="BT188" s="1320"/>
      <c r="BU188" s="1320"/>
      <c r="BV188" s="1320"/>
      <c r="BW188" s="1320"/>
      <c r="BX188" s="1320"/>
      <c r="BY188" s="1320"/>
      <c r="BZ188" s="1320"/>
      <c r="CA188" s="1320"/>
      <c r="CB188" s="1320"/>
      <c r="CC188" s="1320"/>
      <c r="CD188" s="1320"/>
      <c r="CE188" s="1320"/>
      <c r="CF188" s="1320"/>
      <c r="CG188" s="1320"/>
      <c r="CH188" s="1320"/>
      <c r="CI188" s="1320"/>
      <c r="CJ188" s="1320"/>
      <c r="CK188" s="1320"/>
      <c r="CL188" s="1320"/>
      <c r="CM188" s="1320"/>
      <c r="CN188" s="1320"/>
      <c r="CO188" s="1320"/>
      <c r="CP188" s="1320"/>
      <c r="CQ188" s="1320"/>
      <c r="CR188" s="1320"/>
      <c r="CS188" s="1320"/>
      <c r="CT188" s="1320"/>
      <c r="CU188" s="1320"/>
      <c r="CV188" s="1320"/>
      <c r="CW188" s="1320"/>
      <c r="CX188" s="1320"/>
      <c r="CY188" s="1320"/>
      <c r="CZ188" s="1320"/>
      <c r="DA188" s="1320"/>
      <c r="DB188" s="1320"/>
      <c r="DC188" s="1320"/>
      <c r="DD188" s="1320"/>
      <c r="DE188" s="1320"/>
      <c r="DF188" s="1320"/>
      <c r="DG188" s="1320"/>
      <c r="DH188" s="1320"/>
      <c r="DI188" s="1320"/>
      <c r="DJ188" s="1320"/>
      <c r="DK188" s="1320"/>
      <c r="DL188" s="1320"/>
      <c r="DM188" s="1320"/>
      <c r="DN188" s="1320"/>
      <c r="DO188" s="1320"/>
      <c r="DP188" s="1320"/>
      <c r="DQ188" s="1320"/>
      <c r="DR188" s="1320"/>
      <c r="DS188" s="1320"/>
      <c r="DT188" s="1320"/>
      <c r="DU188" s="1320"/>
    </row>
    <row r="189" spans="1:125" s="592" customFormat="1" ht="16.5" customHeight="1">
      <c r="A189" s="714" t="s">
        <v>1382</v>
      </c>
      <c r="B189" s="789" t="s">
        <v>609</v>
      </c>
      <c r="C189" s="1421"/>
      <c r="D189" s="790" t="s">
        <v>611</v>
      </c>
      <c r="E189" s="973"/>
      <c r="F189" s="973"/>
      <c r="G189" s="973"/>
      <c r="H189" s="782"/>
      <c r="I189" s="782"/>
      <c r="J189" s="782"/>
      <c r="K189" s="782">
        <v>22</v>
      </c>
      <c r="L189" s="782"/>
      <c r="M189" s="782"/>
      <c r="N189" s="774">
        <f t="shared" si="22"/>
        <v>22</v>
      </c>
      <c r="O189" s="771"/>
      <c r="P189" s="711">
        <f t="shared" si="18"/>
        <v>0</v>
      </c>
      <c r="Q189" s="1320"/>
      <c r="R189" s="1320"/>
      <c r="S189" s="1320"/>
      <c r="T189" s="1320"/>
      <c r="U189" s="1320"/>
      <c r="V189" s="1320"/>
      <c r="W189" s="1320"/>
      <c r="X189" s="1320"/>
      <c r="Y189" s="1320"/>
      <c r="Z189" s="1320"/>
      <c r="AA189" s="1320"/>
      <c r="AB189" s="1320"/>
      <c r="AC189" s="1320"/>
      <c r="AD189" s="1320"/>
      <c r="AE189" s="1320"/>
      <c r="AF189" s="1320"/>
      <c r="AG189" s="1320"/>
      <c r="AH189" s="1320"/>
      <c r="AI189" s="1320"/>
      <c r="AJ189" s="1320"/>
      <c r="AK189" s="1320"/>
      <c r="AL189" s="1320"/>
      <c r="AM189" s="1320"/>
      <c r="AN189" s="1320"/>
      <c r="AO189" s="1320"/>
      <c r="AP189" s="1320"/>
      <c r="AQ189" s="1320"/>
      <c r="AR189" s="1320"/>
      <c r="AS189" s="1320"/>
      <c r="AT189" s="1320"/>
      <c r="AU189" s="1320"/>
      <c r="AV189" s="1320"/>
      <c r="AW189" s="1320"/>
      <c r="AX189" s="1320"/>
      <c r="AY189" s="1320"/>
      <c r="AZ189" s="1320"/>
      <c r="BA189" s="1320"/>
      <c r="BB189" s="1320"/>
      <c r="BC189" s="1320"/>
      <c r="BD189" s="1320"/>
      <c r="BE189" s="1320"/>
      <c r="BF189" s="1320"/>
      <c r="BG189" s="1320"/>
      <c r="BH189" s="1320"/>
      <c r="BI189" s="1320"/>
      <c r="BJ189" s="1320"/>
      <c r="BK189" s="1320"/>
      <c r="BL189" s="1320"/>
      <c r="BM189" s="1320"/>
      <c r="BN189" s="1320"/>
      <c r="BO189" s="1320"/>
      <c r="BP189" s="1320"/>
      <c r="BQ189" s="1320"/>
      <c r="BR189" s="1320"/>
      <c r="BS189" s="1320"/>
      <c r="BT189" s="1320"/>
      <c r="BU189" s="1320"/>
      <c r="BV189" s="1320"/>
      <c r="BW189" s="1320"/>
      <c r="BX189" s="1320"/>
      <c r="BY189" s="1320"/>
      <c r="BZ189" s="1320"/>
      <c r="CA189" s="1320"/>
      <c r="CB189" s="1320"/>
      <c r="CC189" s="1320"/>
      <c r="CD189" s="1320"/>
      <c r="CE189" s="1320"/>
      <c r="CF189" s="1320"/>
      <c r="CG189" s="1320"/>
      <c r="CH189" s="1320"/>
      <c r="CI189" s="1320"/>
      <c r="CJ189" s="1320"/>
      <c r="CK189" s="1320"/>
      <c r="CL189" s="1320"/>
      <c r="CM189" s="1320"/>
      <c r="CN189" s="1320"/>
      <c r="CO189" s="1320"/>
      <c r="CP189" s="1320"/>
      <c r="CQ189" s="1320"/>
      <c r="CR189" s="1320"/>
      <c r="CS189" s="1320"/>
      <c r="CT189" s="1320"/>
      <c r="CU189" s="1320"/>
      <c r="CV189" s="1320"/>
      <c r="CW189" s="1320"/>
      <c r="CX189" s="1320"/>
      <c r="CY189" s="1320"/>
      <c r="CZ189" s="1320"/>
      <c r="DA189" s="1320"/>
      <c r="DB189" s="1320"/>
      <c r="DC189" s="1320"/>
      <c r="DD189" s="1320"/>
      <c r="DE189" s="1320"/>
      <c r="DF189" s="1320"/>
      <c r="DG189" s="1320"/>
      <c r="DH189" s="1320"/>
      <c r="DI189" s="1320"/>
      <c r="DJ189" s="1320"/>
      <c r="DK189" s="1320"/>
      <c r="DL189" s="1320"/>
      <c r="DM189" s="1320"/>
      <c r="DN189" s="1320"/>
      <c r="DO189" s="1320"/>
      <c r="DP189" s="1320"/>
      <c r="DQ189" s="1320"/>
      <c r="DR189" s="1320"/>
      <c r="DS189" s="1320"/>
      <c r="DT189" s="1320"/>
      <c r="DU189" s="1320"/>
    </row>
    <row r="190" spans="1:125" s="592" customFormat="1" ht="16.5" customHeight="1">
      <c r="A190" s="714" t="s">
        <v>1383</v>
      </c>
      <c r="B190" s="789" t="s">
        <v>2323</v>
      </c>
      <c r="C190" s="1421"/>
      <c r="D190" s="790" t="s">
        <v>611</v>
      </c>
      <c r="E190" s="973"/>
      <c r="F190" s="973"/>
      <c r="G190" s="973"/>
      <c r="H190" s="782">
        <v>4</v>
      </c>
      <c r="I190" s="782">
        <v>2</v>
      </c>
      <c r="J190" s="782"/>
      <c r="K190" s="782">
        <v>22</v>
      </c>
      <c r="L190" s="782"/>
      <c r="M190" s="782">
        <v>12</v>
      </c>
      <c r="N190" s="774">
        <f t="shared" si="22"/>
        <v>40</v>
      </c>
      <c r="O190" s="771"/>
      <c r="P190" s="711">
        <f t="shared" si="18"/>
        <v>0</v>
      </c>
      <c r="Q190" s="1320"/>
      <c r="R190" s="1320"/>
      <c r="S190" s="1320"/>
      <c r="T190" s="1320"/>
      <c r="U190" s="1320"/>
      <c r="V190" s="1320"/>
      <c r="W190" s="1320"/>
      <c r="X190" s="1320"/>
      <c r="Y190" s="1320"/>
      <c r="Z190" s="1320"/>
      <c r="AA190" s="1320"/>
      <c r="AB190" s="1320"/>
      <c r="AC190" s="1320"/>
      <c r="AD190" s="1320"/>
      <c r="AE190" s="1320"/>
      <c r="AF190" s="1320"/>
      <c r="AG190" s="1320"/>
      <c r="AH190" s="1320"/>
      <c r="AI190" s="1320"/>
      <c r="AJ190" s="1320"/>
      <c r="AK190" s="1320"/>
      <c r="AL190" s="1320"/>
      <c r="AM190" s="1320"/>
      <c r="AN190" s="1320"/>
      <c r="AO190" s="1320"/>
      <c r="AP190" s="1320"/>
      <c r="AQ190" s="1320"/>
      <c r="AR190" s="1320"/>
      <c r="AS190" s="1320"/>
      <c r="AT190" s="1320"/>
      <c r="AU190" s="1320"/>
      <c r="AV190" s="1320"/>
      <c r="AW190" s="1320"/>
      <c r="AX190" s="1320"/>
      <c r="AY190" s="1320"/>
      <c r="AZ190" s="1320"/>
      <c r="BA190" s="1320"/>
      <c r="BB190" s="1320"/>
      <c r="BC190" s="1320"/>
      <c r="BD190" s="1320"/>
      <c r="BE190" s="1320"/>
      <c r="BF190" s="1320"/>
      <c r="BG190" s="1320"/>
      <c r="BH190" s="1320"/>
      <c r="BI190" s="1320"/>
      <c r="BJ190" s="1320"/>
      <c r="BK190" s="1320"/>
      <c r="BL190" s="1320"/>
      <c r="BM190" s="1320"/>
      <c r="BN190" s="1320"/>
      <c r="BO190" s="1320"/>
      <c r="BP190" s="1320"/>
      <c r="BQ190" s="1320"/>
      <c r="BR190" s="1320"/>
      <c r="BS190" s="1320"/>
      <c r="BT190" s="1320"/>
      <c r="BU190" s="1320"/>
      <c r="BV190" s="1320"/>
      <c r="BW190" s="1320"/>
      <c r="BX190" s="1320"/>
      <c r="BY190" s="1320"/>
      <c r="BZ190" s="1320"/>
      <c r="CA190" s="1320"/>
      <c r="CB190" s="1320"/>
      <c r="CC190" s="1320"/>
      <c r="CD190" s="1320"/>
      <c r="CE190" s="1320"/>
      <c r="CF190" s="1320"/>
      <c r="CG190" s="1320"/>
      <c r="CH190" s="1320"/>
      <c r="CI190" s="1320"/>
      <c r="CJ190" s="1320"/>
      <c r="CK190" s="1320"/>
      <c r="CL190" s="1320"/>
      <c r="CM190" s="1320"/>
      <c r="CN190" s="1320"/>
      <c r="CO190" s="1320"/>
      <c r="CP190" s="1320"/>
      <c r="CQ190" s="1320"/>
      <c r="CR190" s="1320"/>
      <c r="CS190" s="1320"/>
      <c r="CT190" s="1320"/>
      <c r="CU190" s="1320"/>
      <c r="CV190" s="1320"/>
      <c r="CW190" s="1320"/>
      <c r="CX190" s="1320"/>
      <c r="CY190" s="1320"/>
      <c r="CZ190" s="1320"/>
      <c r="DA190" s="1320"/>
      <c r="DB190" s="1320"/>
      <c r="DC190" s="1320"/>
      <c r="DD190" s="1320"/>
      <c r="DE190" s="1320"/>
      <c r="DF190" s="1320"/>
      <c r="DG190" s="1320"/>
      <c r="DH190" s="1320"/>
      <c r="DI190" s="1320"/>
      <c r="DJ190" s="1320"/>
      <c r="DK190" s="1320"/>
      <c r="DL190" s="1320"/>
      <c r="DM190" s="1320"/>
      <c r="DN190" s="1320"/>
      <c r="DO190" s="1320"/>
      <c r="DP190" s="1320"/>
      <c r="DQ190" s="1320"/>
      <c r="DR190" s="1320"/>
      <c r="DS190" s="1320"/>
      <c r="DT190" s="1320"/>
      <c r="DU190" s="1320"/>
    </row>
    <row r="191" spans="1:125" s="592" customFormat="1" ht="16.5" customHeight="1">
      <c r="A191" s="714" t="s">
        <v>1384</v>
      </c>
      <c r="B191" s="789" t="s">
        <v>2322</v>
      </c>
      <c r="C191" s="1421"/>
      <c r="D191" s="790" t="s">
        <v>611</v>
      </c>
      <c r="E191" s="973"/>
      <c r="F191" s="973"/>
      <c r="G191" s="973"/>
      <c r="H191" s="782">
        <v>6</v>
      </c>
      <c r="I191" s="782"/>
      <c r="J191" s="782"/>
      <c r="K191" s="782">
        <v>22</v>
      </c>
      <c r="L191" s="782"/>
      <c r="M191" s="782"/>
      <c r="N191" s="774">
        <f t="shared" si="22"/>
        <v>28</v>
      </c>
      <c r="O191" s="771"/>
      <c r="P191" s="711">
        <f t="shared" si="18"/>
        <v>0</v>
      </c>
      <c r="Q191" s="1320"/>
      <c r="R191" s="1320"/>
      <c r="S191" s="1320"/>
      <c r="T191" s="1320"/>
      <c r="U191" s="1320"/>
      <c r="V191" s="1320"/>
      <c r="W191" s="1320"/>
      <c r="X191" s="1320"/>
      <c r="Y191" s="1320"/>
      <c r="Z191" s="1320"/>
      <c r="AA191" s="1320"/>
      <c r="AB191" s="1320"/>
      <c r="AC191" s="1320"/>
      <c r="AD191" s="1320"/>
      <c r="AE191" s="1320"/>
      <c r="AF191" s="1320"/>
      <c r="AG191" s="1320"/>
      <c r="AH191" s="1320"/>
      <c r="AI191" s="1320"/>
      <c r="AJ191" s="1320"/>
      <c r="AK191" s="1320"/>
      <c r="AL191" s="1320"/>
      <c r="AM191" s="1320"/>
      <c r="AN191" s="1320"/>
      <c r="AO191" s="1320"/>
      <c r="AP191" s="1320"/>
      <c r="AQ191" s="1320"/>
      <c r="AR191" s="1320"/>
      <c r="AS191" s="1320"/>
      <c r="AT191" s="1320"/>
      <c r="AU191" s="1320"/>
      <c r="AV191" s="1320"/>
      <c r="AW191" s="1320"/>
      <c r="AX191" s="1320"/>
      <c r="AY191" s="1320"/>
      <c r="AZ191" s="1320"/>
      <c r="BA191" s="1320"/>
      <c r="BB191" s="1320"/>
      <c r="BC191" s="1320"/>
      <c r="BD191" s="1320"/>
      <c r="BE191" s="1320"/>
      <c r="BF191" s="1320"/>
      <c r="BG191" s="1320"/>
      <c r="BH191" s="1320"/>
      <c r="BI191" s="1320"/>
      <c r="BJ191" s="1320"/>
      <c r="BK191" s="1320"/>
      <c r="BL191" s="1320"/>
      <c r="BM191" s="1320"/>
      <c r="BN191" s="1320"/>
      <c r="BO191" s="1320"/>
      <c r="BP191" s="1320"/>
      <c r="BQ191" s="1320"/>
      <c r="BR191" s="1320"/>
      <c r="BS191" s="1320"/>
      <c r="BT191" s="1320"/>
      <c r="BU191" s="1320"/>
      <c r="BV191" s="1320"/>
      <c r="BW191" s="1320"/>
      <c r="BX191" s="1320"/>
      <c r="BY191" s="1320"/>
      <c r="BZ191" s="1320"/>
      <c r="CA191" s="1320"/>
      <c r="CB191" s="1320"/>
      <c r="CC191" s="1320"/>
      <c r="CD191" s="1320"/>
      <c r="CE191" s="1320"/>
      <c r="CF191" s="1320"/>
      <c r="CG191" s="1320"/>
      <c r="CH191" s="1320"/>
      <c r="CI191" s="1320"/>
      <c r="CJ191" s="1320"/>
      <c r="CK191" s="1320"/>
      <c r="CL191" s="1320"/>
      <c r="CM191" s="1320"/>
      <c r="CN191" s="1320"/>
      <c r="CO191" s="1320"/>
      <c r="CP191" s="1320"/>
      <c r="CQ191" s="1320"/>
      <c r="CR191" s="1320"/>
      <c r="CS191" s="1320"/>
      <c r="CT191" s="1320"/>
      <c r="CU191" s="1320"/>
      <c r="CV191" s="1320"/>
      <c r="CW191" s="1320"/>
      <c r="CX191" s="1320"/>
      <c r="CY191" s="1320"/>
      <c r="CZ191" s="1320"/>
      <c r="DA191" s="1320"/>
      <c r="DB191" s="1320"/>
      <c r="DC191" s="1320"/>
      <c r="DD191" s="1320"/>
      <c r="DE191" s="1320"/>
      <c r="DF191" s="1320"/>
      <c r="DG191" s="1320"/>
      <c r="DH191" s="1320"/>
      <c r="DI191" s="1320"/>
      <c r="DJ191" s="1320"/>
      <c r="DK191" s="1320"/>
      <c r="DL191" s="1320"/>
      <c r="DM191" s="1320"/>
      <c r="DN191" s="1320"/>
      <c r="DO191" s="1320"/>
      <c r="DP191" s="1320"/>
      <c r="DQ191" s="1320"/>
      <c r="DR191" s="1320"/>
      <c r="DS191" s="1320"/>
      <c r="DT191" s="1320"/>
      <c r="DU191" s="1320"/>
    </row>
    <row r="192" spans="1:125" s="592" customFormat="1" ht="16.5" customHeight="1">
      <c r="A192" s="714" t="s">
        <v>1385</v>
      </c>
      <c r="B192" s="789" t="s">
        <v>607</v>
      </c>
      <c r="C192" s="1421"/>
      <c r="D192" s="790" t="s">
        <v>611</v>
      </c>
      <c r="E192" s="973"/>
      <c r="F192" s="973"/>
      <c r="G192" s="973"/>
      <c r="H192" s="782"/>
      <c r="I192" s="782"/>
      <c r="J192" s="782"/>
      <c r="K192" s="782">
        <v>22</v>
      </c>
      <c r="L192" s="782"/>
      <c r="M192" s="782"/>
      <c r="N192" s="774">
        <f t="shared" si="22"/>
        <v>22</v>
      </c>
      <c r="O192" s="771"/>
      <c r="P192" s="711">
        <f t="shared" si="18"/>
        <v>0</v>
      </c>
      <c r="Q192" s="1320"/>
      <c r="R192" s="1320"/>
      <c r="S192" s="1320"/>
      <c r="T192" s="1320"/>
      <c r="U192" s="1320"/>
      <c r="V192" s="1320"/>
      <c r="W192" s="1320"/>
      <c r="X192" s="1320"/>
      <c r="Y192" s="1320"/>
      <c r="Z192" s="1320"/>
      <c r="AA192" s="1320"/>
      <c r="AB192" s="1320"/>
      <c r="AC192" s="1320"/>
      <c r="AD192" s="1320"/>
      <c r="AE192" s="1320"/>
      <c r="AF192" s="1320"/>
      <c r="AG192" s="1320"/>
      <c r="AH192" s="1320"/>
      <c r="AI192" s="1320"/>
      <c r="AJ192" s="1320"/>
      <c r="AK192" s="1320"/>
      <c r="AL192" s="1320"/>
      <c r="AM192" s="1320"/>
      <c r="AN192" s="1320"/>
      <c r="AO192" s="1320"/>
      <c r="AP192" s="1320"/>
      <c r="AQ192" s="1320"/>
      <c r="AR192" s="1320"/>
      <c r="AS192" s="1320"/>
      <c r="AT192" s="1320"/>
      <c r="AU192" s="1320"/>
      <c r="AV192" s="1320"/>
      <c r="AW192" s="1320"/>
      <c r="AX192" s="1320"/>
      <c r="AY192" s="1320"/>
      <c r="AZ192" s="1320"/>
      <c r="BA192" s="1320"/>
      <c r="BB192" s="1320"/>
      <c r="BC192" s="1320"/>
      <c r="BD192" s="1320"/>
      <c r="BE192" s="1320"/>
      <c r="BF192" s="1320"/>
      <c r="BG192" s="1320"/>
      <c r="BH192" s="1320"/>
      <c r="BI192" s="1320"/>
      <c r="BJ192" s="1320"/>
      <c r="BK192" s="1320"/>
      <c r="BL192" s="1320"/>
      <c r="BM192" s="1320"/>
      <c r="BN192" s="1320"/>
      <c r="BO192" s="1320"/>
      <c r="BP192" s="1320"/>
      <c r="BQ192" s="1320"/>
      <c r="BR192" s="1320"/>
      <c r="BS192" s="1320"/>
      <c r="BT192" s="1320"/>
      <c r="BU192" s="1320"/>
      <c r="BV192" s="1320"/>
      <c r="BW192" s="1320"/>
      <c r="BX192" s="1320"/>
      <c r="BY192" s="1320"/>
      <c r="BZ192" s="1320"/>
      <c r="CA192" s="1320"/>
      <c r="CB192" s="1320"/>
      <c r="CC192" s="1320"/>
      <c r="CD192" s="1320"/>
      <c r="CE192" s="1320"/>
      <c r="CF192" s="1320"/>
      <c r="CG192" s="1320"/>
      <c r="CH192" s="1320"/>
      <c r="CI192" s="1320"/>
      <c r="CJ192" s="1320"/>
      <c r="CK192" s="1320"/>
      <c r="CL192" s="1320"/>
      <c r="CM192" s="1320"/>
      <c r="CN192" s="1320"/>
      <c r="CO192" s="1320"/>
      <c r="CP192" s="1320"/>
      <c r="CQ192" s="1320"/>
      <c r="CR192" s="1320"/>
      <c r="CS192" s="1320"/>
      <c r="CT192" s="1320"/>
      <c r="CU192" s="1320"/>
      <c r="CV192" s="1320"/>
      <c r="CW192" s="1320"/>
      <c r="CX192" s="1320"/>
      <c r="CY192" s="1320"/>
      <c r="CZ192" s="1320"/>
      <c r="DA192" s="1320"/>
      <c r="DB192" s="1320"/>
      <c r="DC192" s="1320"/>
      <c r="DD192" s="1320"/>
      <c r="DE192" s="1320"/>
      <c r="DF192" s="1320"/>
      <c r="DG192" s="1320"/>
      <c r="DH192" s="1320"/>
      <c r="DI192" s="1320"/>
      <c r="DJ192" s="1320"/>
      <c r="DK192" s="1320"/>
      <c r="DL192" s="1320"/>
      <c r="DM192" s="1320"/>
      <c r="DN192" s="1320"/>
      <c r="DO192" s="1320"/>
      <c r="DP192" s="1320"/>
      <c r="DQ192" s="1320"/>
      <c r="DR192" s="1320"/>
      <c r="DS192" s="1320"/>
      <c r="DT192" s="1320"/>
      <c r="DU192" s="1320"/>
    </row>
    <row r="193" spans="1:125" s="592" customFormat="1" ht="16.5" customHeight="1">
      <c r="A193" s="714" t="s">
        <v>1386</v>
      </c>
      <c r="B193" s="789" t="s">
        <v>2732</v>
      </c>
      <c r="C193" s="1421"/>
      <c r="D193" s="790" t="s">
        <v>611</v>
      </c>
      <c r="E193" s="973"/>
      <c r="F193" s="973"/>
      <c r="G193" s="973"/>
      <c r="H193" s="782"/>
      <c r="I193" s="782"/>
      <c r="J193" s="782"/>
      <c r="K193" s="782">
        <v>22</v>
      </c>
      <c r="L193" s="782"/>
      <c r="M193" s="782"/>
      <c r="N193" s="774">
        <f t="shared" si="22"/>
        <v>22</v>
      </c>
      <c r="O193" s="771"/>
      <c r="P193" s="711">
        <f t="shared" si="18"/>
        <v>0</v>
      </c>
      <c r="Q193" s="1320"/>
      <c r="R193" s="1320"/>
      <c r="S193" s="1320"/>
      <c r="T193" s="1320"/>
      <c r="U193" s="1320"/>
      <c r="V193" s="1320"/>
      <c r="W193" s="1320"/>
      <c r="X193" s="1320"/>
      <c r="Y193" s="1320"/>
      <c r="Z193" s="1320"/>
      <c r="AA193" s="1320"/>
      <c r="AB193" s="1320"/>
      <c r="AC193" s="1320"/>
      <c r="AD193" s="1320"/>
      <c r="AE193" s="1320"/>
      <c r="AF193" s="1320"/>
      <c r="AG193" s="1320"/>
      <c r="AH193" s="1320"/>
      <c r="AI193" s="1320"/>
      <c r="AJ193" s="1320"/>
      <c r="AK193" s="1320"/>
      <c r="AL193" s="1320"/>
      <c r="AM193" s="1320"/>
      <c r="AN193" s="1320"/>
      <c r="AO193" s="1320"/>
      <c r="AP193" s="1320"/>
      <c r="AQ193" s="1320"/>
      <c r="AR193" s="1320"/>
      <c r="AS193" s="1320"/>
      <c r="AT193" s="1320"/>
      <c r="AU193" s="1320"/>
      <c r="AV193" s="1320"/>
      <c r="AW193" s="1320"/>
      <c r="AX193" s="1320"/>
      <c r="AY193" s="1320"/>
      <c r="AZ193" s="1320"/>
      <c r="BA193" s="1320"/>
      <c r="BB193" s="1320"/>
      <c r="BC193" s="1320"/>
      <c r="BD193" s="1320"/>
      <c r="BE193" s="1320"/>
      <c r="BF193" s="1320"/>
      <c r="BG193" s="1320"/>
      <c r="BH193" s="1320"/>
      <c r="BI193" s="1320"/>
      <c r="BJ193" s="1320"/>
      <c r="BK193" s="1320"/>
      <c r="BL193" s="1320"/>
      <c r="BM193" s="1320"/>
      <c r="BN193" s="1320"/>
      <c r="BO193" s="1320"/>
      <c r="BP193" s="1320"/>
      <c r="BQ193" s="1320"/>
      <c r="BR193" s="1320"/>
      <c r="BS193" s="1320"/>
      <c r="BT193" s="1320"/>
      <c r="BU193" s="1320"/>
      <c r="BV193" s="1320"/>
      <c r="BW193" s="1320"/>
      <c r="BX193" s="1320"/>
      <c r="BY193" s="1320"/>
      <c r="BZ193" s="1320"/>
      <c r="CA193" s="1320"/>
      <c r="CB193" s="1320"/>
      <c r="CC193" s="1320"/>
      <c r="CD193" s="1320"/>
      <c r="CE193" s="1320"/>
      <c r="CF193" s="1320"/>
      <c r="CG193" s="1320"/>
      <c r="CH193" s="1320"/>
      <c r="CI193" s="1320"/>
      <c r="CJ193" s="1320"/>
      <c r="CK193" s="1320"/>
      <c r="CL193" s="1320"/>
      <c r="CM193" s="1320"/>
      <c r="CN193" s="1320"/>
      <c r="CO193" s="1320"/>
      <c r="CP193" s="1320"/>
      <c r="CQ193" s="1320"/>
      <c r="CR193" s="1320"/>
      <c r="CS193" s="1320"/>
      <c r="CT193" s="1320"/>
      <c r="CU193" s="1320"/>
      <c r="CV193" s="1320"/>
      <c r="CW193" s="1320"/>
      <c r="CX193" s="1320"/>
      <c r="CY193" s="1320"/>
      <c r="CZ193" s="1320"/>
      <c r="DA193" s="1320"/>
      <c r="DB193" s="1320"/>
      <c r="DC193" s="1320"/>
      <c r="DD193" s="1320"/>
      <c r="DE193" s="1320"/>
      <c r="DF193" s="1320"/>
      <c r="DG193" s="1320"/>
      <c r="DH193" s="1320"/>
      <c r="DI193" s="1320"/>
      <c r="DJ193" s="1320"/>
      <c r="DK193" s="1320"/>
      <c r="DL193" s="1320"/>
      <c r="DM193" s="1320"/>
      <c r="DN193" s="1320"/>
      <c r="DO193" s="1320"/>
      <c r="DP193" s="1320"/>
      <c r="DQ193" s="1320"/>
      <c r="DR193" s="1320"/>
      <c r="DS193" s="1320"/>
      <c r="DT193" s="1320"/>
      <c r="DU193" s="1320"/>
    </row>
    <row r="194" spans="1:125" s="592" customFormat="1" ht="16.5" customHeight="1">
      <c r="A194" s="714" t="s">
        <v>1387</v>
      </c>
      <c r="B194" s="789" t="s">
        <v>608</v>
      </c>
      <c r="C194" s="1421"/>
      <c r="D194" s="790" t="s">
        <v>611</v>
      </c>
      <c r="E194" s="973"/>
      <c r="F194" s="973"/>
      <c r="G194" s="973"/>
      <c r="H194" s="782"/>
      <c r="I194" s="782"/>
      <c r="J194" s="782"/>
      <c r="K194" s="782">
        <v>22</v>
      </c>
      <c r="L194" s="782"/>
      <c r="M194" s="782"/>
      <c r="N194" s="774">
        <f t="shared" si="22"/>
        <v>22</v>
      </c>
      <c r="O194" s="771"/>
      <c r="P194" s="711">
        <f t="shared" si="18"/>
        <v>0</v>
      </c>
      <c r="Q194" s="1320"/>
      <c r="R194" s="1320"/>
      <c r="S194" s="1320"/>
      <c r="T194" s="1320"/>
      <c r="U194" s="1320"/>
      <c r="V194" s="1320"/>
      <c r="W194" s="1320"/>
      <c r="X194" s="1320"/>
      <c r="Y194" s="1320"/>
      <c r="Z194" s="1320"/>
      <c r="AA194" s="1320"/>
      <c r="AB194" s="1320"/>
      <c r="AC194" s="1320"/>
      <c r="AD194" s="1320"/>
      <c r="AE194" s="1320"/>
      <c r="AF194" s="1320"/>
      <c r="AG194" s="1320"/>
      <c r="AH194" s="1320"/>
      <c r="AI194" s="1320"/>
      <c r="AJ194" s="1320"/>
      <c r="AK194" s="1320"/>
      <c r="AL194" s="1320"/>
      <c r="AM194" s="1320"/>
      <c r="AN194" s="1320"/>
      <c r="AO194" s="1320"/>
      <c r="AP194" s="1320"/>
      <c r="AQ194" s="1320"/>
      <c r="AR194" s="1320"/>
      <c r="AS194" s="1320"/>
      <c r="AT194" s="1320"/>
      <c r="AU194" s="1320"/>
      <c r="AV194" s="1320"/>
      <c r="AW194" s="1320"/>
      <c r="AX194" s="1320"/>
      <c r="AY194" s="1320"/>
      <c r="AZ194" s="1320"/>
      <c r="BA194" s="1320"/>
      <c r="BB194" s="1320"/>
      <c r="BC194" s="1320"/>
      <c r="BD194" s="1320"/>
      <c r="BE194" s="1320"/>
      <c r="BF194" s="1320"/>
      <c r="BG194" s="1320"/>
      <c r="BH194" s="1320"/>
      <c r="BI194" s="1320"/>
      <c r="BJ194" s="1320"/>
      <c r="BK194" s="1320"/>
      <c r="BL194" s="1320"/>
      <c r="BM194" s="1320"/>
      <c r="BN194" s="1320"/>
      <c r="BO194" s="1320"/>
      <c r="BP194" s="1320"/>
      <c r="BQ194" s="1320"/>
      <c r="BR194" s="1320"/>
      <c r="BS194" s="1320"/>
      <c r="BT194" s="1320"/>
      <c r="BU194" s="1320"/>
      <c r="BV194" s="1320"/>
      <c r="BW194" s="1320"/>
      <c r="BX194" s="1320"/>
      <c r="BY194" s="1320"/>
      <c r="BZ194" s="1320"/>
      <c r="CA194" s="1320"/>
      <c r="CB194" s="1320"/>
      <c r="CC194" s="1320"/>
      <c r="CD194" s="1320"/>
      <c r="CE194" s="1320"/>
      <c r="CF194" s="1320"/>
      <c r="CG194" s="1320"/>
      <c r="CH194" s="1320"/>
      <c r="CI194" s="1320"/>
      <c r="CJ194" s="1320"/>
      <c r="CK194" s="1320"/>
      <c r="CL194" s="1320"/>
      <c r="CM194" s="1320"/>
      <c r="CN194" s="1320"/>
      <c r="CO194" s="1320"/>
      <c r="CP194" s="1320"/>
      <c r="CQ194" s="1320"/>
      <c r="CR194" s="1320"/>
      <c r="CS194" s="1320"/>
      <c r="CT194" s="1320"/>
      <c r="CU194" s="1320"/>
      <c r="CV194" s="1320"/>
      <c r="CW194" s="1320"/>
      <c r="CX194" s="1320"/>
      <c r="CY194" s="1320"/>
      <c r="CZ194" s="1320"/>
      <c r="DA194" s="1320"/>
      <c r="DB194" s="1320"/>
      <c r="DC194" s="1320"/>
      <c r="DD194" s="1320"/>
      <c r="DE194" s="1320"/>
      <c r="DF194" s="1320"/>
      <c r="DG194" s="1320"/>
      <c r="DH194" s="1320"/>
      <c r="DI194" s="1320"/>
      <c r="DJ194" s="1320"/>
      <c r="DK194" s="1320"/>
      <c r="DL194" s="1320"/>
      <c r="DM194" s="1320"/>
      <c r="DN194" s="1320"/>
      <c r="DO194" s="1320"/>
      <c r="DP194" s="1320"/>
      <c r="DQ194" s="1320"/>
      <c r="DR194" s="1320"/>
      <c r="DS194" s="1320"/>
      <c r="DT194" s="1320"/>
      <c r="DU194" s="1320"/>
    </row>
    <row r="195" spans="1:125" s="592" customFormat="1" ht="16.5" customHeight="1">
      <c r="A195" s="714" t="s">
        <v>1388</v>
      </c>
      <c r="B195" s="789" t="s">
        <v>606</v>
      </c>
      <c r="C195" s="1421"/>
      <c r="D195" s="790" t="s">
        <v>611</v>
      </c>
      <c r="E195" s="973"/>
      <c r="F195" s="973"/>
      <c r="G195" s="973"/>
      <c r="H195" s="782"/>
      <c r="I195" s="782"/>
      <c r="J195" s="782"/>
      <c r="K195" s="782">
        <v>22</v>
      </c>
      <c r="L195" s="782"/>
      <c r="M195" s="782"/>
      <c r="N195" s="774">
        <f t="shared" si="22"/>
        <v>22</v>
      </c>
      <c r="O195" s="771"/>
      <c r="P195" s="711">
        <f t="shared" si="18"/>
        <v>0</v>
      </c>
      <c r="Q195" s="1320"/>
      <c r="R195" s="1320"/>
      <c r="S195" s="1320"/>
      <c r="T195" s="1320"/>
      <c r="U195" s="1320"/>
      <c r="V195" s="1320"/>
      <c r="W195" s="1320"/>
      <c r="X195" s="1320"/>
      <c r="Y195" s="1320"/>
      <c r="Z195" s="1320"/>
      <c r="AA195" s="1320"/>
      <c r="AB195" s="1320"/>
      <c r="AC195" s="1320"/>
      <c r="AD195" s="1320"/>
      <c r="AE195" s="1320"/>
      <c r="AF195" s="1320"/>
      <c r="AG195" s="1320"/>
      <c r="AH195" s="1320"/>
      <c r="AI195" s="1320"/>
      <c r="AJ195" s="1320"/>
      <c r="AK195" s="1320"/>
      <c r="AL195" s="1320"/>
      <c r="AM195" s="1320"/>
      <c r="AN195" s="1320"/>
      <c r="AO195" s="1320"/>
      <c r="AP195" s="1320"/>
      <c r="AQ195" s="1320"/>
      <c r="AR195" s="1320"/>
      <c r="AS195" s="1320"/>
      <c r="AT195" s="1320"/>
      <c r="AU195" s="1320"/>
      <c r="AV195" s="1320"/>
      <c r="AW195" s="1320"/>
      <c r="AX195" s="1320"/>
      <c r="AY195" s="1320"/>
      <c r="AZ195" s="1320"/>
      <c r="BA195" s="1320"/>
      <c r="BB195" s="1320"/>
      <c r="BC195" s="1320"/>
      <c r="BD195" s="1320"/>
      <c r="BE195" s="1320"/>
      <c r="BF195" s="1320"/>
      <c r="BG195" s="1320"/>
      <c r="BH195" s="1320"/>
      <c r="BI195" s="1320"/>
      <c r="BJ195" s="1320"/>
      <c r="BK195" s="1320"/>
      <c r="BL195" s="1320"/>
      <c r="BM195" s="1320"/>
      <c r="BN195" s="1320"/>
      <c r="BO195" s="1320"/>
      <c r="BP195" s="1320"/>
      <c r="BQ195" s="1320"/>
      <c r="BR195" s="1320"/>
      <c r="BS195" s="1320"/>
      <c r="BT195" s="1320"/>
      <c r="BU195" s="1320"/>
      <c r="BV195" s="1320"/>
      <c r="BW195" s="1320"/>
      <c r="BX195" s="1320"/>
      <c r="BY195" s="1320"/>
      <c r="BZ195" s="1320"/>
      <c r="CA195" s="1320"/>
      <c r="CB195" s="1320"/>
      <c r="CC195" s="1320"/>
      <c r="CD195" s="1320"/>
      <c r="CE195" s="1320"/>
      <c r="CF195" s="1320"/>
      <c r="CG195" s="1320"/>
      <c r="CH195" s="1320"/>
      <c r="CI195" s="1320"/>
      <c r="CJ195" s="1320"/>
      <c r="CK195" s="1320"/>
      <c r="CL195" s="1320"/>
      <c r="CM195" s="1320"/>
      <c r="CN195" s="1320"/>
      <c r="CO195" s="1320"/>
      <c r="CP195" s="1320"/>
      <c r="CQ195" s="1320"/>
      <c r="CR195" s="1320"/>
      <c r="CS195" s="1320"/>
      <c r="CT195" s="1320"/>
      <c r="CU195" s="1320"/>
      <c r="CV195" s="1320"/>
      <c r="CW195" s="1320"/>
      <c r="CX195" s="1320"/>
      <c r="CY195" s="1320"/>
      <c r="CZ195" s="1320"/>
      <c r="DA195" s="1320"/>
      <c r="DB195" s="1320"/>
      <c r="DC195" s="1320"/>
      <c r="DD195" s="1320"/>
      <c r="DE195" s="1320"/>
      <c r="DF195" s="1320"/>
      <c r="DG195" s="1320"/>
      <c r="DH195" s="1320"/>
      <c r="DI195" s="1320"/>
      <c r="DJ195" s="1320"/>
      <c r="DK195" s="1320"/>
      <c r="DL195" s="1320"/>
      <c r="DM195" s="1320"/>
      <c r="DN195" s="1320"/>
      <c r="DO195" s="1320"/>
      <c r="DP195" s="1320"/>
      <c r="DQ195" s="1320"/>
      <c r="DR195" s="1320"/>
      <c r="DS195" s="1320"/>
      <c r="DT195" s="1320"/>
      <c r="DU195" s="1320"/>
    </row>
    <row r="196" spans="1:125" s="592" customFormat="1" ht="16.5" customHeight="1">
      <c r="A196" s="714" t="s">
        <v>1389</v>
      </c>
      <c r="B196" s="789" t="s">
        <v>610</v>
      </c>
      <c r="C196" s="1421"/>
      <c r="D196" s="790" t="s">
        <v>611</v>
      </c>
      <c r="E196" s="973"/>
      <c r="F196" s="973"/>
      <c r="G196" s="973"/>
      <c r="H196" s="782"/>
      <c r="I196" s="782"/>
      <c r="J196" s="782"/>
      <c r="K196" s="782">
        <v>22</v>
      </c>
      <c r="L196" s="782"/>
      <c r="M196" s="782"/>
      <c r="N196" s="774">
        <f t="shared" si="22"/>
        <v>22</v>
      </c>
      <c r="O196" s="771"/>
      <c r="P196" s="711">
        <f t="shared" si="18"/>
        <v>0</v>
      </c>
      <c r="Q196" s="1320"/>
      <c r="R196" s="1320"/>
      <c r="S196" s="1320"/>
      <c r="T196" s="1320"/>
      <c r="U196" s="1320"/>
      <c r="V196" s="1320"/>
      <c r="W196" s="1320"/>
      <c r="X196" s="1320"/>
      <c r="Y196" s="1320"/>
      <c r="Z196" s="1320"/>
      <c r="AA196" s="1320"/>
      <c r="AB196" s="1320"/>
      <c r="AC196" s="1320"/>
      <c r="AD196" s="1320"/>
      <c r="AE196" s="1320"/>
      <c r="AF196" s="1320"/>
      <c r="AG196" s="1320"/>
      <c r="AH196" s="1320"/>
      <c r="AI196" s="1320"/>
      <c r="AJ196" s="1320"/>
      <c r="AK196" s="1320"/>
      <c r="AL196" s="1320"/>
      <c r="AM196" s="1320"/>
      <c r="AN196" s="1320"/>
      <c r="AO196" s="1320"/>
      <c r="AP196" s="1320"/>
      <c r="AQ196" s="1320"/>
      <c r="AR196" s="1320"/>
      <c r="AS196" s="1320"/>
      <c r="AT196" s="1320"/>
      <c r="AU196" s="1320"/>
      <c r="AV196" s="1320"/>
      <c r="AW196" s="1320"/>
      <c r="AX196" s="1320"/>
      <c r="AY196" s="1320"/>
      <c r="AZ196" s="1320"/>
      <c r="BA196" s="1320"/>
      <c r="BB196" s="1320"/>
      <c r="BC196" s="1320"/>
      <c r="BD196" s="1320"/>
      <c r="BE196" s="1320"/>
      <c r="BF196" s="1320"/>
      <c r="BG196" s="1320"/>
      <c r="BH196" s="1320"/>
      <c r="BI196" s="1320"/>
      <c r="BJ196" s="1320"/>
      <c r="BK196" s="1320"/>
      <c r="BL196" s="1320"/>
      <c r="BM196" s="1320"/>
      <c r="BN196" s="1320"/>
      <c r="BO196" s="1320"/>
      <c r="BP196" s="1320"/>
      <c r="BQ196" s="1320"/>
      <c r="BR196" s="1320"/>
      <c r="BS196" s="1320"/>
      <c r="BT196" s="1320"/>
      <c r="BU196" s="1320"/>
      <c r="BV196" s="1320"/>
      <c r="BW196" s="1320"/>
      <c r="BX196" s="1320"/>
      <c r="BY196" s="1320"/>
      <c r="BZ196" s="1320"/>
      <c r="CA196" s="1320"/>
      <c r="CB196" s="1320"/>
      <c r="CC196" s="1320"/>
      <c r="CD196" s="1320"/>
      <c r="CE196" s="1320"/>
      <c r="CF196" s="1320"/>
      <c r="CG196" s="1320"/>
      <c r="CH196" s="1320"/>
      <c r="CI196" s="1320"/>
      <c r="CJ196" s="1320"/>
      <c r="CK196" s="1320"/>
      <c r="CL196" s="1320"/>
      <c r="CM196" s="1320"/>
      <c r="CN196" s="1320"/>
      <c r="CO196" s="1320"/>
      <c r="CP196" s="1320"/>
      <c r="CQ196" s="1320"/>
      <c r="CR196" s="1320"/>
      <c r="CS196" s="1320"/>
      <c r="CT196" s="1320"/>
      <c r="CU196" s="1320"/>
      <c r="CV196" s="1320"/>
      <c r="CW196" s="1320"/>
      <c r="CX196" s="1320"/>
      <c r="CY196" s="1320"/>
      <c r="CZ196" s="1320"/>
      <c r="DA196" s="1320"/>
      <c r="DB196" s="1320"/>
      <c r="DC196" s="1320"/>
      <c r="DD196" s="1320"/>
      <c r="DE196" s="1320"/>
      <c r="DF196" s="1320"/>
      <c r="DG196" s="1320"/>
      <c r="DH196" s="1320"/>
      <c r="DI196" s="1320"/>
      <c r="DJ196" s="1320"/>
      <c r="DK196" s="1320"/>
      <c r="DL196" s="1320"/>
      <c r="DM196" s="1320"/>
      <c r="DN196" s="1320"/>
      <c r="DO196" s="1320"/>
      <c r="DP196" s="1320"/>
      <c r="DQ196" s="1320"/>
      <c r="DR196" s="1320"/>
      <c r="DS196" s="1320"/>
      <c r="DT196" s="1320"/>
      <c r="DU196" s="1320"/>
    </row>
    <row r="197" spans="1:125" s="592" customFormat="1" ht="16.5" customHeight="1">
      <c r="A197" s="714" t="s">
        <v>1390</v>
      </c>
      <c r="B197" s="789" t="s">
        <v>625</v>
      </c>
      <c r="C197" s="1421"/>
      <c r="D197" s="790" t="s">
        <v>611</v>
      </c>
      <c r="E197" s="973"/>
      <c r="F197" s="973"/>
      <c r="G197" s="973"/>
      <c r="H197" s="782">
        <v>10</v>
      </c>
      <c r="I197" s="782">
        <v>2</v>
      </c>
      <c r="J197" s="782"/>
      <c r="K197" s="782"/>
      <c r="L197" s="782"/>
      <c r="M197" s="782">
        <v>12</v>
      </c>
      <c r="N197" s="774">
        <f t="shared" si="22"/>
        <v>24</v>
      </c>
      <c r="O197" s="771"/>
      <c r="P197" s="711">
        <f t="shared" si="18"/>
        <v>0</v>
      </c>
      <c r="Q197" s="1320"/>
      <c r="R197" s="1320"/>
      <c r="S197" s="1320"/>
      <c r="T197" s="1320"/>
      <c r="U197" s="1320"/>
      <c r="V197" s="1320"/>
      <c r="W197" s="1320"/>
      <c r="X197" s="1320"/>
      <c r="Y197" s="1320"/>
      <c r="Z197" s="1320"/>
      <c r="AA197" s="1320"/>
      <c r="AB197" s="1320"/>
      <c r="AC197" s="1320"/>
      <c r="AD197" s="1320"/>
      <c r="AE197" s="1320"/>
      <c r="AF197" s="1320"/>
      <c r="AG197" s="1320"/>
      <c r="AH197" s="1320"/>
      <c r="AI197" s="1320"/>
      <c r="AJ197" s="1320"/>
      <c r="AK197" s="1320"/>
      <c r="AL197" s="1320"/>
      <c r="AM197" s="1320"/>
      <c r="AN197" s="1320"/>
      <c r="AO197" s="1320"/>
      <c r="AP197" s="1320"/>
      <c r="AQ197" s="1320"/>
      <c r="AR197" s="1320"/>
      <c r="AS197" s="1320"/>
      <c r="AT197" s="1320"/>
      <c r="AU197" s="1320"/>
      <c r="AV197" s="1320"/>
      <c r="AW197" s="1320"/>
      <c r="AX197" s="1320"/>
      <c r="AY197" s="1320"/>
      <c r="AZ197" s="1320"/>
      <c r="BA197" s="1320"/>
      <c r="BB197" s="1320"/>
      <c r="BC197" s="1320"/>
      <c r="BD197" s="1320"/>
      <c r="BE197" s="1320"/>
      <c r="BF197" s="1320"/>
      <c r="BG197" s="1320"/>
      <c r="BH197" s="1320"/>
      <c r="BI197" s="1320"/>
      <c r="BJ197" s="1320"/>
      <c r="BK197" s="1320"/>
      <c r="BL197" s="1320"/>
      <c r="BM197" s="1320"/>
      <c r="BN197" s="1320"/>
      <c r="BO197" s="1320"/>
      <c r="BP197" s="1320"/>
      <c r="BQ197" s="1320"/>
      <c r="BR197" s="1320"/>
      <c r="BS197" s="1320"/>
      <c r="BT197" s="1320"/>
      <c r="BU197" s="1320"/>
      <c r="BV197" s="1320"/>
      <c r="BW197" s="1320"/>
      <c r="BX197" s="1320"/>
      <c r="BY197" s="1320"/>
      <c r="BZ197" s="1320"/>
      <c r="CA197" s="1320"/>
      <c r="CB197" s="1320"/>
      <c r="CC197" s="1320"/>
      <c r="CD197" s="1320"/>
      <c r="CE197" s="1320"/>
      <c r="CF197" s="1320"/>
      <c r="CG197" s="1320"/>
      <c r="CH197" s="1320"/>
      <c r="CI197" s="1320"/>
      <c r="CJ197" s="1320"/>
      <c r="CK197" s="1320"/>
      <c r="CL197" s="1320"/>
      <c r="CM197" s="1320"/>
      <c r="CN197" s="1320"/>
      <c r="CO197" s="1320"/>
      <c r="CP197" s="1320"/>
      <c r="CQ197" s="1320"/>
      <c r="CR197" s="1320"/>
      <c r="CS197" s="1320"/>
      <c r="CT197" s="1320"/>
      <c r="CU197" s="1320"/>
      <c r="CV197" s="1320"/>
      <c r="CW197" s="1320"/>
      <c r="CX197" s="1320"/>
      <c r="CY197" s="1320"/>
      <c r="CZ197" s="1320"/>
      <c r="DA197" s="1320"/>
      <c r="DB197" s="1320"/>
      <c r="DC197" s="1320"/>
      <c r="DD197" s="1320"/>
      <c r="DE197" s="1320"/>
      <c r="DF197" s="1320"/>
      <c r="DG197" s="1320"/>
      <c r="DH197" s="1320"/>
      <c r="DI197" s="1320"/>
      <c r="DJ197" s="1320"/>
      <c r="DK197" s="1320"/>
      <c r="DL197" s="1320"/>
      <c r="DM197" s="1320"/>
      <c r="DN197" s="1320"/>
      <c r="DO197" s="1320"/>
      <c r="DP197" s="1320"/>
      <c r="DQ197" s="1320"/>
      <c r="DR197" s="1320"/>
      <c r="DS197" s="1320"/>
      <c r="DT197" s="1320"/>
      <c r="DU197" s="1320"/>
    </row>
    <row r="198" spans="1:125" s="592" customFormat="1" ht="16.5" customHeight="1">
      <c r="A198" s="714" t="s">
        <v>1391</v>
      </c>
      <c r="B198" s="789" t="s">
        <v>629</v>
      </c>
      <c r="C198" s="1421"/>
      <c r="D198" s="790" t="s">
        <v>611</v>
      </c>
      <c r="E198" s="973"/>
      <c r="F198" s="973"/>
      <c r="G198" s="973"/>
      <c r="H198" s="782">
        <v>2</v>
      </c>
      <c r="I198" s="782"/>
      <c r="J198" s="782"/>
      <c r="K198" s="782"/>
      <c r="L198" s="782"/>
      <c r="M198" s="782">
        <v>2</v>
      </c>
      <c r="N198" s="774">
        <f t="shared" si="22"/>
        <v>4</v>
      </c>
      <c r="O198" s="771"/>
      <c r="P198" s="711">
        <f t="shared" si="18"/>
        <v>0</v>
      </c>
      <c r="Q198" s="1320"/>
      <c r="R198" s="1320"/>
      <c r="S198" s="1320"/>
      <c r="T198" s="1320"/>
      <c r="U198" s="1320"/>
      <c r="V198" s="1320"/>
      <c r="W198" s="1320"/>
      <c r="X198" s="1320"/>
      <c r="Y198" s="1320"/>
      <c r="Z198" s="1320"/>
      <c r="AA198" s="1320"/>
      <c r="AB198" s="1320"/>
      <c r="AC198" s="1320"/>
      <c r="AD198" s="1320"/>
      <c r="AE198" s="1320"/>
      <c r="AF198" s="1320"/>
      <c r="AG198" s="1320"/>
      <c r="AH198" s="1320"/>
      <c r="AI198" s="1320"/>
      <c r="AJ198" s="1320"/>
      <c r="AK198" s="1320"/>
      <c r="AL198" s="1320"/>
      <c r="AM198" s="1320"/>
      <c r="AN198" s="1320"/>
      <c r="AO198" s="1320"/>
      <c r="AP198" s="1320"/>
      <c r="AQ198" s="1320"/>
      <c r="AR198" s="1320"/>
      <c r="AS198" s="1320"/>
      <c r="AT198" s="1320"/>
      <c r="AU198" s="1320"/>
      <c r="AV198" s="1320"/>
      <c r="AW198" s="1320"/>
      <c r="AX198" s="1320"/>
      <c r="AY198" s="1320"/>
      <c r="AZ198" s="1320"/>
      <c r="BA198" s="1320"/>
      <c r="BB198" s="1320"/>
      <c r="BC198" s="1320"/>
      <c r="BD198" s="1320"/>
      <c r="BE198" s="1320"/>
      <c r="BF198" s="1320"/>
      <c r="BG198" s="1320"/>
      <c r="BH198" s="1320"/>
      <c r="BI198" s="1320"/>
      <c r="BJ198" s="1320"/>
      <c r="BK198" s="1320"/>
      <c r="BL198" s="1320"/>
      <c r="BM198" s="1320"/>
      <c r="BN198" s="1320"/>
      <c r="BO198" s="1320"/>
      <c r="BP198" s="1320"/>
      <c r="BQ198" s="1320"/>
      <c r="BR198" s="1320"/>
      <c r="BS198" s="1320"/>
      <c r="BT198" s="1320"/>
      <c r="BU198" s="1320"/>
      <c r="BV198" s="1320"/>
      <c r="BW198" s="1320"/>
      <c r="BX198" s="1320"/>
      <c r="BY198" s="1320"/>
      <c r="BZ198" s="1320"/>
      <c r="CA198" s="1320"/>
      <c r="CB198" s="1320"/>
      <c r="CC198" s="1320"/>
      <c r="CD198" s="1320"/>
      <c r="CE198" s="1320"/>
      <c r="CF198" s="1320"/>
      <c r="CG198" s="1320"/>
      <c r="CH198" s="1320"/>
      <c r="CI198" s="1320"/>
      <c r="CJ198" s="1320"/>
      <c r="CK198" s="1320"/>
      <c r="CL198" s="1320"/>
      <c r="CM198" s="1320"/>
      <c r="CN198" s="1320"/>
      <c r="CO198" s="1320"/>
      <c r="CP198" s="1320"/>
      <c r="CQ198" s="1320"/>
      <c r="CR198" s="1320"/>
      <c r="CS198" s="1320"/>
      <c r="CT198" s="1320"/>
      <c r="CU198" s="1320"/>
      <c r="CV198" s="1320"/>
      <c r="CW198" s="1320"/>
      <c r="CX198" s="1320"/>
      <c r="CY198" s="1320"/>
      <c r="CZ198" s="1320"/>
      <c r="DA198" s="1320"/>
      <c r="DB198" s="1320"/>
      <c r="DC198" s="1320"/>
      <c r="DD198" s="1320"/>
      <c r="DE198" s="1320"/>
      <c r="DF198" s="1320"/>
      <c r="DG198" s="1320"/>
      <c r="DH198" s="1320"/>
      <c r="DI198" s="1320"/>
      <c r="DJ198" s="1320"/>
      <c r="DK198" s="1320"/>
      <c r="DL198" s="1320"/>
      <c r="DM198" s="1320"/>
      <c r="DN198" s="1320"/>
      <c r="DO198" s="1320"/>
      <c r="DP198" s="1320"/>
      <c r="DQ198" s="1320"/>
      <c r="DR198" s="1320"/>
      <c r="DS198" s="1320"/>
      <c r="DT198" s="1320"/>
      <c r="DU198" s="1320"/>
    </row>
    <row r="199" spans="1:125" s="592" customFormat="1" ht="16.5" customHeight="1">
      <c r="A199" s="714" t="s">
        <v>1392</v>
      </c>
      <c r="B199" s="789" t="s">
        <v>626</v>
      </c>
      <c r="C199" s="1421"/>
      <c r="D199" s="790" t="s">
        <v>611</v>
      </c>
      <c r="E199" s="973"/>
      <c r="F199" s="973"/>
      <c r="G199" s="973"/>
      <c r="H199" s="782">
        <v>10</v>
      </c>
      <c r="I199" s="782">
        <v>2</v>
      </c>
      <c r="J199" s="782"/>
      <c r="K199" s="782"/>
      <c r="L199" s="782"/>
      <c r="M199" s="782">
        <v>12</v>
      </c>
      <c r="N199" s="774">
        <f t="shared" si="22"/>
        <v>24</v>
      </c>
      <c r="O199" s="771"/>
      <c r="P199" s="711">
        <f t="shared" si="18"/>
        <v>0</v>
      </c>
      <c r="Q199" s="1320"/>
      <c r="R199" s="1320"/>
      <c r="S199" s="1320"/>
      <c r="T199" s="1320"/>
      <c r="U199" s="1320"/>
      <c r="V199" s="1320"/>
      <c r="W199" s="1320"/>
      <c r="X199" s="1320"/>
      <c r="Y199" s="1320"/>
      <c r="Z199" s="1320"/>
      <c r="AA199" s="1320"/>
      <c r="AB199" s="1320"/>
      <c r="AC199" s="1320"/>
      <c r="AD199" s="1320"/>
      <c r="AE199" s="1320"/>
      <c r="AF199" s="1320"/>
      <c r="AG199" s="1320"/>
      <c r="AH199" s="1320"/>
      <c r="AI199" s="1320"/>
      <c r="AJ199" s="1320"/>
      <c r="AK199" s="1320"/>
      <c r="AL199" s="1320"/>
      <c r="AM199" s="1320"/>
      <c r="AN199" s="1320"/>
      <c r="AO199" s="1320"/>
      <c r="AP199" s="1320"/>
      <c r="AQ199" s="1320"/>
      <c r="AR199" s="1320"/>
      <c r="AS199" s="1320"/>
      <c r="AT199" s="1320"/>
      <c r="AU199" s="1320"/>
      <c r="AV199" s="1320"/>
      <c r="AW199" s="1320"/>
      <c r="AX199" s="1320"/>
      <c r="AY199" s="1320"/>
      <c r="AZ199" s="1320"/>
      <c r="BA199" s="1320"/>
      <c r="BB199" s="1320"/>
      <c r="BC199" s="1320"/>
      <c r="BD199" s="1320"/>
      <c r="BE199" s="1320"/>
      <c r="BF199" s="1320"/>
      <c r="BG199" s="1320"/>
      <c r="BH199" s="1320"/>
      <c r="BI199" s="1320"/>
      <c r="BJ199" s="1320"/>
      <c r="BK199" s="1320"/>
      <c r="BL199" s="1320"/>
      <c r="BM199" s="1320"/>
      <c r="BN199" s="1320"/>
      <c r="BO199" s="1320"/>
      <c r="BP199" s="1320"/>
      <c r="BQ199" s="1320"/>
      <c r="BR199" s="1320"/>
      <c r="BS199" s="1320"/>
      <c r="BT199" s="1320"/>
      <c r="BU199" s="1320"/>
      <c r="BV199" s="1320"/>
      <c r="BW199" s="1320"/>
      <c r="BX199" s="1320"/>
      <c r="BY199" s="1320"/>
      <c r="BZ199" s="1320"/>
      <c r="CA199" s="1320"/>
      <c r="CB199" s="1320"/>
      <c r="CC199" s="1320"/>
      <c r="CD199" s="1320"/>
      <c r="CE199" s="1320"/>
      <c r="CF199" s="1320"/>
      <c r="CG199" s="1320"/>
      <c r="CH199" s="1320"/>
      <c r="CI199" s="1320"/>
      <c r="CJ199" s="1320"/>
      <c r="CK199" s="1320"/>
      <c r="CL199" s="1320"/>
      <c r="CM199" s="1320"/>
      <c r="CN199" s="1320"/>
      <c r="CO199" s="1320"/>
      <c r="CP199" s="1320"/>
      <c r="CQ199" s="1320"/>
      <c r="CR199" s="1320"/>
      <c r="CS199" s="1320"/>
      <c r="CT199" s="1320"/>
      <c r="CU199" s="1320"/>
      <c r="CV199" s="1320"/>
      <c r="CW199" s="1320"/>
      <c r="CX199" s="1320"/>
      <c r="CY199" s="1320"/>
      <c r="CZ199" s="1320"/>
      <c r="DA199" s="1320"/>
      <c r="DB199" s="1320"/>
      <c r="DC199" s="1320"/>
      <c r="DD199" s="1320"/>
      <c r="DE199" s="1320"/>
      <c r="DF199" s="1320"/>
      <c r="DG199" s="1320"/>
      <c r="DH199" s="1320"/>
      <c r="DI199" s="1320"/>
      <c r="DJ199" s="1320"/>
      <c r="DK199" s="1320"/>
      <c r="DL199" s="1320"/>
      <c r="DM199" s="1320"/>
      <c r="DN199" s="1320"/>
      <c r="DO199" s="1320"/>
      <c r="DP199" s="1320"/>
      <c r="DQ199" s="1320"/>
      <c r="DR199" s="1320"/>
      <c r="DS199" s="1320"/>
      <c r="DT199" s="1320"/>
      <c r="DU199" s="1320"/>
    </row>
    <row r="200" spans="1:125" s="592" customFormat="1" ht="16.5" customHeight="1">
      <c r="A200" s="714" t="s">
        <v>1393</v>
      </c>
      <c r="B200" s="789" t="s">
        <v>627</v>
      </c>
      <c r="C200" s="1421"/>
      <c r="D200" s="790" t="s">
        <v>611</v>
      </c>
      <c r="E200" s="973"/>
      <c r="F200" s="973"/>
      <c r="G200" s="973"/>
      <c r="H200" s="782">
        <v>5</v>
      </c>
      <c r="I200" s="782">
        <v>1</v>
      </c>
      <c r="J200" s="782"/>
      <c r="K200" s="782"/>
      <c r="L200" s="782"/>
      <c r="M200" s="782">
        <v>6</v>
      </c>
      <c r="N200" s="774">
        <f t="shared" si="22"/>
        <v>12</v>
      </c>
      <c r="O200" s="771"/>
      <c r="P200" s="711">
        <f t="shared" si="18"/>
        <v>0</v>
      </c>
      <c r="Q200" s="1320"/>
      <c r="R200" s="1320"/>
      <c r="S200" s="1320"/>
      <c r="T200" s="1320"/>
      <c r="U200" s="1320"/>
      <c r="V200" s="1320"/>
      <c r="W200" s="1320"/>
      <c r="X200" s="1320"/>
      <c r="Y200" s="1320"/>
      <c r="Z200" s="1320"/>
      <c r="AA200" s="1320"/>
      <c r="AB200" s="1320"/>
      <c r="AC200" s="1320"/>
      <c r="AD200" s="1320"/>
      <c r="AE200" s="1320"/>
      <c r="AF200" s="1320"/>
      <c r="AG200" s="1320"/>
      <c r="AH200" s="1320"/>
      <c r="AI200" s="1320"/>
      <c r="AJ200" s="1320"/>
      <c r="AK200" s="1320"/>
      <c r="AL200" s="1320"/>
      <c r="AM200" s="1320"/>
      <c r="AN200" s="1320"/>
      <c r="AO200" s="1320"/>
      <c r="AP200" s="1320"/>
      <c r="AQ200" s="1320"/>
      <c r="AR200" s="1320"/>
      <c r="AS200" s="1320"/>
      <c r="AT200" s="1320"/>
      <c r="AU200" s="1320"/>
      <c r="AV200" s="1320"/>
      <c r="AW200" s="1320"/>
      <c r="AX200" s="1320"/>
      <c r="AY200" s="1320"/>
      <c r="AZ200" s="1320"/>
      <c r="BA200" s="1320"/>
      <c r="BB200" s="1320"/>
      <c r="BC200" s="1320"/>
      <c r="BD200" s="1320"/>
      <c r="BE200" s="1320"/>
      <c r="BF200" s="1320"/>
      <c r="BG200" s="1320"/>
      <c r="BH200" s="1320"/>
      <c r="BI200" s="1320"/>
      <c r="BJ200" s="1320"/>
      <c r="BK200" s="1320"/>
      <c r="BL200" s="1320"/>
      <c r="BM200" s="1320"/>
      <c r="BN200" s="1320"/>
      <c r="BO200" s="1320"/>
      <c r="BP200" s="1320"/>
      <c r="BQ200" s="1320"/>
      <c r="BR200" s="1320"/>
      <c r="BS200" s="1320"/>
      <c r="BT200" s="1320"/>
      <c r="BU200" s="1320"/>
      <c r="BV200" s="1320"/>
      <c r="BW200" s="1320"/>
      <c r="BX200" s="1320"/>
      <c r="BY200" s="1320"/>
      <c r="BZ200" s="1320"/>
      <c r="CA200" s="1320"/>
      <c r="CB200" s="1320"/>
      <c r="CC200" s="1320"/>
      <c r="CD200" s="1320"/>
      <c r="CE200" s="1320"/>
      <c r="CF200" s="1320"/>
      <c r="CG200" s="1320"/>
      <c r="CH200" s="1320"/>
      <c r="CI200" s="1320"/>
      <c r="CJ200" s="1320"/>
      <c r="CK200" s="1320"/>
      <c r="CL200" s="1320"/>
      <c r="CM200" s="1320"/>
      <c r="CN200" s="1320"/>
      <c r="CO200" s="1320"/>
      <c r="CP200" s="1320"/>
      <c r="CQ200" s="1320"/>
      <c r="CR200" s="1320"/>
      <c r="CS200" s="1320"/>
      <c r="CT200" s="1320"/>
      <c r="CU200" s="1320"/>
      <c r="CV200" s="1320"/>
      <c r="CW200" s="1320"/>
      <c r="CX200" s="1320"/>
      <c r="CY200" s="1320"/>
      <c r="CZ200" s="1320"/>
      <c r="DA200" s="1320"/>
      <c r="DB200" s="1320"/>
      <c r="DC200" s="1320"/>
      <c r="DD200" s="1320"/>
      <c r="DE200" s="1320"/>
      <c r="DF200" s="1320"/>
      <c r="DG200" s="1320"/>
      <c r="DH200" s="1320"/>
      <c r="DI200" s="1320"/>
      <c r="DJ200" s="1320"/>
      <c r="DK200" s="1320"/>
      <c r="DL200" s="1320"/>
      <c r="DM200" s="1320"/>
      <c r="DN200" s="1320"/>
      <c r="DO200" s="1320"/>
      <c r="DP200" s="1320"/>
      <c r="DQ200" s="1320"/>
      <c r="DR200" s="1320"/>
      <c r="DS200" s="1320"/>
      <c r="DT200" s="1320"/>
      <c r="DU200" s="1320"/>
    </row>
    <row r="201" spans="1:125" s="592" customFormat="1" ht="16.5" customHeight="1">
      <c r="A201" s="714" t="s">
        <v>1394</v>
      </c>
      <c r="B201" s="789" t="s">
        <v>630</v>
      </c>
      <c r="C201" s="1421"/>
      <c r="D201" s="790" t="s">
        <v>611</v>
      </c>
      <c r="E201" s="973"/>
      <c r="F201" s="973"/>
      <c r="G201" s="973"/>
      <c r="H201" s="782">
        <v>1</v>
      </c>
      <c r="I201" s="782"/>
      <c r="J201" s="782"/>
      <c r="K201" s="782"/>
      <c r="L201" s="782"/>
      <c r="M201" s="782">
        <v>1</v>
      </c>
      <c r="N201" s="774">
        <f t="shared" si="22"/>
        <v>2</v>
      </c>
      <c r="O201" s="771"/>
      <c r="P201" s="711">
        <f t="shared" si="18"/>
        <v>0</v>
      </c>
      <c r="Q201" s="1320"/>
      <c r="R201" s="1320"/>
      <c r="S201" s="1320"/>
      <c r="T201" s="1320"/>
      <c r="U201" s="1320"/>
      <c r="V201" s="1320"/>
      <c r="W201" s="1320"/>
      <c r="X201" s="1320"/>
      <c r="Y201" s="1320"/>
      <c r="Z201" s="1320"/>
      <c r="AA201" s="1320"/>
      <c r="AB201" s="1320"/>
      <c r="AC201" s="1320"/>
      <c r="AD201" s="1320"/>
      <c r="AE201" s="1320"/>
      <c r="AF201" s="1320"/>
      <c r="AG201" s="1320"/>
      <c r="AH201" s="1320"/>
      <c r="AI201" s="1320"/>
      <c r="AJ201" s="1320"/>
      <c r="AK201" s="1320"/>
      <c r="AL201" s="1320"/>
      <c r="AM201" s="1320"/>
      <c r="AN201" s="1320"/>
      <c r="AO201" s="1320"/>
      <c r="AP201" s="1320"/>
      <c r="AQ201" s="1320"/>
      <c r="AR201" s="1320"/>
      <c r="AS201" s="1320"/>
      <c r="AT201" s="1320"/>
      <c r="AU201" s="1320"/>
      <c r="AV201" s="1320"/>
      <c r="AW201" s="1320"/>
      <c r="AX201" s="1320"/>
      <c r="AY201" s="1320"/>
      <c r="AZ201" s="1320"/>
      <c r="BA201" s="1320"/>
      <c r="BB201" s="1320"/>
      <c r="BC201" s="1320"/>
      <c r="BD201" s="1320"/>
      <c r="BE201" s="1320"/>
      <c r="BF201" s="1320"/>
      <c r="BG201" s="1320"/>
      <c r="BH201" s="1320"/>
      <c r="BI201" s="1320"/>
      <c r="BJ201" s="1320"/>
      <c r="BK201" s="1320"/>
      <c r="BL201" s="1320"/>
      <c r="BM201" s="1320"/>
      <c r="BN201" s="1320"/>
      <c r="BO201" s="1320"/>
      <c r="BP201" s="1320"/>
      <c r="BQ201" s="1320"/>
      <c r="BR201" s="1320"/>
      <c r="BS201" s="1320"/>
      <c r="BT201" s="1320"/>
      <c r="BU201" s="1320"/>
      <c r="BV201" s="1320"/>
      <c r="BW201" s="1320"/>
      <c r="BX201" s="1320"/>
      <c r="BY201" s="1320"/>
      <c r="BZ201" s="1320"/>
      <c r="CA201" s="1320"/>
      <c r="CB201" s="1320"/>
      <c r="CC201" s="1320"/>
      <c r="CD201" s="1320"/>
      <c r="CE201" s="1320"/>
      <c r="CF201" s="1320"/>
      <c r="CG201" s="1320"/>
      <c r="CH201" s="1320"/>
      <c r="CI201" s="1320"/>
      <c r="CJ201" s="1320"/>
      <c r="CK201" s="1320"/>
      <c r="CL201" s="1320"/>
      <c r="CM201" s="1320"/>
      <c r="CN201" s="1320"/>
      <c r="CO201" s="1320"/>
      <c r="CP201" s="1320"/>
      <c r="CQ201" s="1320"/>
      <c r="CR201" s="1320"/>
      <c r="CS201" s="1320"/>
      <c r="CT201" s="1320"/>
      <c r="CU201" s="1320"/>
      <c r="CV201" s="1320"/>
      <c r="CW201" s="1320"/>
      <c r="CX201" s="1320"/>
      <c r="CY201" s="1320"/>
      <c r="CZ201" s="1320"/>
      <c r="DA201" s="1320"/>
      <c r="DB201" s="1320"/>
      <c r="DC201" s="1320"/>
      <c r="DD201" s="1320"/>
      <c r="DE201" s="1320"/>
      <c r="DF201" s="1320"/>
      <c r="DG201" s="1320"/>
      <c r="DH201" s="1320"/>
      <c r="DI201" s="1320"/>
      <c r="DJ201" s="1320"/>
      <c r="DK201" s="1320"/>
      <c r="DL201" s="1320"/>
      <c r="DM201" s="1320"/>
      <c r="DN201" s="1320"/>
      <c r="DO201" s="1320"/>
      <c r="DP201" s="1320"/>
      <c r="DQ201" s="1320"/>
      <c r="DR201" s="1320"/>
      <c r="DS201" s="1320"/>
      <c r="DT201" s="1320"/>
      <c r="DU201" s="1320"/>
    </row>
    <row r="202" spans="1:125" s="592" customFormat="1" ht="16.5" customHeight="1">
      <c r="A202" s="714" t="s">
        <v>1395</v>
      </c>
      <c r="B202" s="789" t="s">
        <v>631</v>
      </c>
      <c r="C202" s="1421"/>
      <c r="D202" s="790" t="s">
        <v>611</v>
      </c>
      <c r="E202" s="973"/>
      <c r="F202" s="973"/>
      <c r="G202" s="973"/>
      <c r="H202" s="782">
        <v>1</v>
      </c>
      <c r="I202" s="782"/>
      <c r="J202" s="782"/>
      <c r="K202" s="782"/>
      <c r="L202" s="782"/>
      <c r="M202" s="782">
        <v>1</v>
      </c>
      <c r="N202" s="774">
        <f t="shared" si="22"/>
        <v>2</v>
      </c>
      <c r="O202" s="771"/>
      <c r="P202" s="711">
        <f t="shared" si="18"/>
        <v>0</v>
      </c>
      <c r="Q202" s="1320"/>
      <c r="R202" s="1320"/>
      <c r="S202" s="1320"/>
      <c r="T202" s="1320"/>
      <c r="U202" s="1320"/>
      <c r="V202" s="1320"/>
      <c r="W202" s="1320"/>
      <c r="X202" s="1320"/>
      <c r="Y202" s="1320"/>
      <c r="Z202" s="1320"/>
      <c r="AA202" s="1320"/>
      <c r="AB202" s="1320"/>
      <c r="AC202" s="1320"/>
      <c r="AD202" s="1320"/>
      <c r="AE202" s="1320"/>
      <c r="AF202" s="1320"/>
      <c r="AG202" s="1320"/>
      <c r="AH202" s="1320"/>
      <c r="AI202" s="1320"/>
      <c r="AJ202" s="1320"/>
      <c r="AK202" s="1320"/>
      <c r="AL202" s="1320"/>
      <c r="AM202" s="1320"/>
      <c r="AN202" s="1320"/>
      <c r="AO202" s="1320"/>
      <c r="AP202" s="1320"/>
      <c r="AQ202" s="1320"/>
      <c r="AR202" s="1320"/>
      <c r="AS202" s="1320"/>
      <c r="AT202" s="1320"/>
      <c r="AU202" s="1320"/>
      <c r="AV202" s="1320"/>
      <c r="AW202" s="1320"/>
      <c r="AX202" s="1320"/>
      <c r="AY202" s="1320"/>
      <c r="AZ202" s="1320"/>
      <c r="BA202" s="1320"/>
      <c r="BB202" s="1320"/>
      <c r="BC202" s="1320"/>
      <c r="BD202" s="1320"/>
      <c r="BE202" s="1320"/>
      <c r="BF202" s="1320"/>
      <c r="BG202" s="1320"/>
      <c r="BH202" s="1320"/>
      <c r="BI202" s="1320"/>
      <c r="BJ202" s="1320"/>
      <c r="BK202" s="1320"/>
      <c r="BL202" s="1320"/>
      <c r="BM202" s="1320"/>
      <c r="BN202" s="1320"/>
      <c r="BO202" s="1320"/>
      <c r="BP202" s="1320"/>
      <c r="BQ202" s="1320"/>
      <c r="BR202" s="1320"/>
      <c r="BS202" s="1320"/>
      <c r="BT202" s="1320"/>
      <c r="BU202" s="1320"/>
      <c r="BV202" s="1320"/>
      <c r="BW202" s="1320"/>
      <c r="BX202" s="1320"/>
      <c r="BY202" s="1320"/>
      <c r="BZ202" s="1320"/>
      <c r="CA202" s="1320"/>
      <c r="CB202" s="1320"/>
      <c r="CC202" s="1320"/>
      <c r="CD202" s="1320"/>
      <c r="CE202" s="1320"/>
      <c r="CF202" s="1320"/>
      <c r="CG202" s="1320"/>
      <c r="CH202" s="1320"/>
      <c r="CI202" s="1320"/>
      <c r="CJ202" s="1320"/>
      <c r="CK202" s="1320"/>
      <c r="CL202" s="1320"/>
      <c r="CM202" s="1320"/>
      <c r="CN202" s="1320"/>
      <c r="CO202" s="1320"/>
      <c r="CP202" s="1320"/>
      <c r="CQ202" s="1320"/>
      <c r="CR202" s="1320"/>
      <c r="CS202" s="1320"/>
      <c r="CT202" s="1320"/>
      <c r="CU202" s="1320"/>
      <c r="CV202" s="1320"/>
      <c r="CW202" s="1320"/>
      <c r="CX202" s="1320"/>
      <c r="CY202" s="1320"/>
      <c r="CZ202" s="1320"/>
      <c r="DA202" s="1320"/>
      <c r="DB202" s="1320"/>
      <c r="DC202" s="1320"/>
      <c r="DD202" s="1320"/>
      <c r="DE202" s="1320"/>
      <c r="DF202" s="1320"/>
      <c r="DG202" s="1320"/>
      <c r="DH202" s="1320"/>
      <c r="DI202" s="1320"/>
      <c r="DJ202" s="1320"/>
      <c r="DK202" s="1320"/>
      <c r="DL202" s="1320"/>
      <c r="DM202" s="1320"/>
      <c r="DN202" s="1320"/>
      <c r="DO202" s="1320"/>
      <c r="DP202" s="1320"/>
      <c r="DQ202" s="1320"/>
      <c r="DR202" s="1320"/>
      <c r="DS202" s="1320"/>
      <c r="DT202" s="1320"/>
      <c r="DU202" s="1320"/>
    </row>
    <row r="203" spans="1:125" s="592" customFormat="1" ht="16.5" customHeight="1">
      <c r="A203" s="714" t="s">
        <v>1396</v>
      </c>
      <c r="B203" s="789" t="s">
        <v>661</v>
      </c>
      <c r="C203" s="1421"/>
      <c r="D203" s="790" t="s">
        <v>611</v>
      </c>
      <c r="E203" s="973"/>
      <c r="F203" s="973">
        <f>25+14</f>
        <v>39</v>
      </c>
      <c r="G203" s="973"/>
      <c r="H203" s="782"/>
      <c r="I203" s="782"/>
      <c r="J203" s="782"/>
      <c r="K203" s="782"/>
      <c r="L203" s="782"/>
      <c r="M203" s="782"/>
      <c r="N203" s="774">
        <f t="shared" si="22"/>
        <v>39</v>
      </c>
      <c r="O203" s="771"/>
      <c r="P203" s="711">
        <f t="shared" ref="P203:P247" si="23">N203*O203</f>
        <v>0</v>
      </c>
      <c r="Q203" s="1320"/>
      <c r="R203" s="1320"/>
      <c r="S203" s="1320"/>
      <c r="T203" s="1320"/>
      <c r="U203" s="1320"/>
      <c r="V203" s="1320"/>
      <c r="W203" s="1320"/>
      <c r="X203" s="1320"/>
      <c r="Y203" s="1320"/>
      <c r="Z203" s="1320"/>
      <c r="AA203" s="1320"/>
      <c r="AB203" s="1320"/>
      <c r="AC203" s="1320"/>
      <c r="AD203" s="1320"/>
      <c r="AE203" s="1320"/>
      <c r="AF203" s="1320"/>
      <c r="AG203" s="1320"/>
      <c r="AH203" s="1320"/>
      <c r="AI203" s="1320"/>
      <c r="AJ203" s="1320"/>
      <c r="AK203" s="1320"/>
      <c r="AL203" s="1320"/>
      <c r="AM203" s="1320"/>
      <c r="AN203" s="1320"/>
      <c r="AO203" s="1320"/>
      <c r="AP203" s="1320"/>
      <c r="AQ203" s="1320"/>
      <c r="AR203" s="1320"/>
      <c r="AS203" s="1320"/>
      <c r="AT203" s="1320"/>
      <c r="AU203" s="1320"/>
      <c r="AV203" s="1320"/>
      <c r="AW203" s="1320"/>
      <c r="AX203" s="1320"/>
      <c r="AY203" s="1320"/>
      <c r="AZ203" s="1320"/>
      <c r="BA203" s="1320"/>
      <c r="BB203" s="1320"/>
      <c r="BC203" s="1320"/>
      <c r="BD203" s="1320"/>
      <c r="BE203" s="1320"/>
      <c r="BF203" s="1320"/>
      <c r="BG203" s="1320"/>
      <c r="BH203" s="1320"/>
      <c r="BI203" s="1320"/>
      <c r="BJ203" s="1320"/>
      <c r="BK203" s="1320"/>
      <c r="BL203" s="1320"/>
      <c r="BM203" s="1320"/>
      <c r="BN203" s="1320"/>
      <c r="BO203" s="1320"/>
      <c r="BP203" s="1320"/>
      <c r="BQ203" s="1320"/>
      <c r="BR203" s="1320"/>
      <c r="BS203" s="1320"/>
      <c r="BT203" s="1320"/>
      <c r="BU203" s="1320"/>
      <c r="BV203" s="1320"/>
      <c r="BW203" s="1320"/>
      <c r="BX203" s="1320"/>
      <c r="BY203" s="1320"/>
      <c r="BZ203" s="1320"/>
      <c r="CA203" s="1320"/>
      <c r="CB203" s="1320"/>
      <c r="CC203" s="1320"/>
      <c r="CD203" s="1320"/>
      <c r="CE203" s="1320"/>
      <c r="CF203" s="1320"/>
      <c r="CG203" s="1320"/>
      <c r="CH203" s="1320"/>
      <c r="CI203" s="1320"/>
      <c r="CJ203" s="1320"/>
      <c r="CK203" s="1320"/>
      <c r="CL203" s="1320"/>
      <c r="CM203" s="1320"/>
      <c r="CN203" s="1320"/>
      <c r="CO203" s="1320"/>
      <c r="CP203" s="1320"/>
      <c r="CQ203" s="1320"/>
      <c r="CR203" s="1320"/>
      <c r="CS203" s="1320"/>
      <c r="CT203" s="1320"/>
      <c r="CU203" s="1320"/>
      <c r="CV203" s="1320"/>
      <c r="CW203" s="1320"/>
      <c r="CX203" s="1320"/>
      <c r="CY203" s="1320"/>
      <c r="CZ203" s="1320"/>
      <c r="DA203" s="1320"/>
      <c r="DB203" s="1320"/>
      <c r="DC203" s="1320"/>
      <c r="DD203" s="1320"/>
      <c r="DE203" s="1320"/>
      <c r="DF203" s="1320"/>
      <c r="DG203" s="1320"/>
      <c r="DH203" s="1320"/>
      <c r="DI203" s="1320"/>
      <c r="DJ203" s="1320"/>
      <c r="DK203" s="1320"/>
      <c r="DL203" s="1320"/>
      <c r="DM203" s="1320"/>
      <c r="DN203" s="1320"/>
      <c r="DO203" s="1320"/>
      <c r="DP203" s="1320"/>
      <c r="DQ203" s="1320"/>
      <c r="DR203" s="1320"/>
      <c r="DS203" s="1320"/>
      <c r="DT203" s="1320"/>
      <c r="DU203" s="1320"/>
    </row>
    <row r="204" spans="1:125" s="592" customFormat="1" ht="16.5" customHeight="1">
      <c r="A204" s="714" t="s">
        <v>1397</v>
      </c>
      <c r="B204" s="789" t="s">
        <v>662</v>
      </c>
      <c r="C204" s="1421"/>
      <c r="D204" s="790" t="s">
        <v>611</v>
      </c>
      <c r="E204" s="973"/>
      <c r="F204" s="973">
        <f>50+28</f>
        <v>78</v>
      </c>
      <c r="G204" s="973"/>
      <c r="H204" s="782"/>
      <c r="I204" s="782"/>
      <c r="J204" s="782"/>
      <c r="K204" s="782"/>
      <c r="L204" s="782"/>
      <c r="M204" s="782"/>
      <c r="N204" s="774">
        <f t="shared" si="22"/>
        <v>78</v>
      </c>
      <c r="O204" s="771"/>
      <c r="P204" s="711">
        <f t="shared" si="23"/>
        <v>0</v>
      </c>
      <c r="Q204" s="1320"/>
      <c r="R204" s="1320"/>
      <c r="S204" s="1320"/>
      <c r="T204" s="1320"/>
      <c r="U204" s="1320"/>
      <c r="V204" s="1320"/>
      <c r="W204" s="1320"/>
      <c r="X204" s="1320"/>
      <c r="Y204" s="1320"/>
      <c r="Z204" s="1320"/>
      <c r="AA204" s="1320"/>
      <c r="AB204" s="1320"/>
      <c r="AC204" s="1320"/>
      <c r="AD204" s="1320"/>
      <c r="AE204" s="1320"/>
      <c r="AF204" s="1320"/>
      <c r="AG204" s="1320"/>
      <c r="AH204" s="1320"/>
      <c r="AI204" s="1320"/>
      <c r="AJ204" s="1320"/>
      <c r="AK204" s="1320"/>
      <c r="AL204" s="1320"/>
      <c r="AM204" s="1320"/>
      <c r="AN204" s="1320"/>
      <c r="AO204" s="1320"/>
      <c r="AP204" s="1320"/>
      <c r="AQ204" s="1320"/>
      <c r="AR204" s="1320"/>
      <c r="AS204" s="1320"/>
      <c r="AT204" s="1320"/>
      <c r="AU204" s="1320"/>
      <c r="AV204" s="1320"/>
      <c r="AW204" s="1320"/>
      <c r="AX204" s="1320"/>
      <c r="AY204" s="1320"/>
      <c r="AZ204" s="1320"/>
      <c r="BA204" s="1320"/>
      <c r="BB204" s="1320"/>
      <c r="BC204" s="1320"/>
      <c r="BD204" s="1320"/>
      <c r="BE204" s="1320"/>
      <c r="BF204" s="1320"/>
      <c r="BG204" s="1320"/>
      <c r="BH204" s="1320"/>
      <c r="BI204" s="1320"/>
      <c r="BJ204" s="1320"/>
      <c r="BK204" s="1320"/>
      <c r="BL204" s="1320"/>
      <c r="BM204" s="1320"/>
      <c r="BN204" s="1320"/>
      <c r="BO204" s="1320"/>
      <c r="BP204" s="1320"/>
      <c r="BQ204" s="1320"/>
      <c r="BR204" s="1320"/>
      <c r="BS204" s="1320"/>
      <c r="BT204" s="1320"/>
      <c r="BU204" s="1320"/>
      <c r="BV204" s="1320"/>
      <c r="BW204" s="1320"/>
      <c r="BX204" s="1320"/>
      <c r="BY204" s="1320"/>
      <c r="BZ204" s="1320"/>
      <c r="CA204" s="1320"/>
      <c r="CB204" s="1320"/>
      <c r="CC204" s="1320"/>
      <c r="CD204" s="1320"/>
      <c r="CE204" s="1320"/>
      <c r="CF204" s="1320"/>
      <c r="CG204" s="1320"/>
      <c r="CH204" s="1320"/>
      <c r="CI204" s="1320"/>
      <c r="CJ204" s="1320"/>
      <c r="CK204" s="1320"/>
      <c r="CL204" s="1320"/>
      <c r="CM204" s="1320"/>
      <c r="CN204" s="1320"/>
      <c r="CO204" s="1320"/>
      <c r="CP204" s="1320"/>
      <c r="CQ204" s="1320"/>
      <c r="CR204" s="1320"/>
      <c r="CS204" s="1320"/>
      <c r="CT204" s="1320"/>
      <c r="CU204" s="1320"/>
      <c r="CV204" s="1320"/>
      <c r="CW204" s="1320"/>
      <c r="CX204" s="1320"/>
      <c r="CY204" s="1320"/>
      <c r="CZ204" s="1320"/>
      <c r="DA204" s="1320"/>
      <c r="DB204" s="1320"/>
      <c r="DC204" s="1320"/>
      <c r="DD204" s="1320"/>
      <c r="DE204" s="1320"/>
      <c r="DF204" s="1320"/>
      <c r="DG204" s="1320"/>
      <c r="DH204" s="1320"/>
      <c r="DI204" s="1320"/>
      <c r="DJ204" s="1320"/>
      <c r="DK204" s="1320"/>
      <c r="DL204" s="1320"/>
      <c r="DM204" s="1320"/>
      <c r="DN204" s="1320"/>
      <c r="DO204" s="1320"/>
      <c r="DP204" s="1320"/>
      <c r="DQ204" s="1320"/>
      <c r="DR204" s="1320"/>
      <c r="DS204" s="1320"/>
      <c r="DT204" s="1320"/>
      <c r="DU204" s="1320"/>
    </row>
    <row r="205" spans="1:125">
      <c r="A205" s="717" t="s">
        <v>685</v>
      </c>
      <c r="B205" s="1062" t="s">
        <v>612</v>
      </c>
      <c r="C205" s="1420" t="s">
        <v>2538</v>
      </c>
      <c r="D205" s="740" t="s">
        <v>18</v>
      </c>
      <c r="E205" s="973"/>
      <c r="F205" s="973"/>
      <c r="G205" s="973"/>
      <c r="H205" s="968"/>
      <c r="I205" s="968"/>
      <c r="J205" s="968"/>
      <c r="K205" s="968">
        <v>2</v>
      </c>
      <c r="L205" s="968"/>
      <c r="M205" s="968"/>
      <c r="N205" s="774">
        <f t="shared" si="22"/>
        <v>2</v>
      </c>
      <c r="O205" s="771"/>
      <c r="P205" s="711">
        <f t="shared" si="23"/>
        <v>0</v>
      </c>
    </row>
    <row r="206" spans="1:125" s="592" customFormat="1" ht="16.5" customHeight="1">
      <c r="A206" s="717" t="s">
        <v>688</v>
      </c>
      <c r="B206" s="1062" t="s">
        <v>1314</v>
      </c>
      <c r="C206" s="1420" t="s">
        <v>2539</v>
      </c>
      <c r="D206" s="740"/>
      <c r="E206" s="973"/>
      <c r="F206" s="973"/>
      <c r="G206" s="973"/>
      <c r="H206" s="782"/>
      <c r="I206" s="782"/>
      <c r="J206" s="782"/>
      <c r="K206" s="782"/>
      <c r="L206" s="782"/>
      <c r="M206" s="782"/>
      <c r="N206" s="774"/>
      <c r="O206" s="775"/>
      <c r="P206" s="711"/>
      <c r="Q206" s="1320"/>
      <c r="R206" s="1320"/>
      <c r="S206" s="1320"/>
      <c r="T206" s="1320"/>
      <c r="U206" s="1320"/>
      <c r="V206" s="1320"/>
      <c r="W206" s="1320"/>
      <c r="X206" s="1320"/>
      <c r="Y206" s="1320"/>
      <c r="Z206" s="1320"/>
      <c r="AA206" s="1320"/>
      <c r="AB206" s="1320"/>
      <c r="AC206" s="1320"/>
      <c r="AD206" s="1320"/>
      <c r="AE206" s="1320"/>
      <c r="AF206" s="1320"/>
      <c r="AG206" s="1320"/>
      <c r="AH206" s="1320"/>
      <c r="AI206" s="1320"/>
      <c r="AJ206" s="1320"/>
      <c r="AK206" s="1320"/>
      <c r="AL206" s="1320"/>
      <c r="AM206" s="1320"/>
      <c r="AN206" s="1320"/>
      <c r="AO206" s="1320"/>
      <c r="AP206" s="1320"/>
      <c r="AQ206" s="1320"/>
      <c r="AR206" s="1320"/>
      <c r="AS206" s="1320"/>
      <c r="AT206" s="1320"/>
      <c r="AU206" s="1320"/>
      <c r="AV206" s="1320"/>
      <c r="AW206" s="1320"/>
      <c r="AX206" s="1320"/>
      <c r="AY206" s="1320"/>
      <c r="AZ206" s="1320"/>
      <c r="BA206" s="1320"/>
      <c r="BB206" s="1320"/>
      <c r="BC206" s="1320"/>
      <c r="BD206" s="1320"/>
      <c r="BE206" s="1320"/>
      <c r="BF206" s="1320"/>
      <c r="BG206" s="1320"/>
      <c r="BH206" s="1320"/>
      <c r="BI206" s="1320"/>
      <c r="BJ206" s="1320"/>
      <c r="BK206" s="1320"/>
      <c r="BL206" s="1320"/>
      <c r="BM206" s="1320"/>
      <c r="BN206" s="1320"/>
      <c r="BO206" s="1320"/>
      <c r="BP206" s="1320"/>
      <c r="BQ206" s="1320"/>
      <c r="BR206" s="1320"/>
      <c r="BS206" s="1320"/>
      <c r="BT206" s="1320"/>
      <c r="BU206" s="1320"/>
      <c r="BV206" s="1320"/>
      <c r="BW206" s="1320"/>
      <c r="BX206" s="1320"/>
      <c r="BY206" s="1320"/>
      <c r="BZ206" s="1320"/>
      <c r="CA206" s="1320"/>
      <c r="CB206" s="1320"/>
      <c r="CC206" s="1320"/>
      <c r="CD206" s="1320"/>
      <c r="CE206" s="1320"/>
      <c r="CF206" s="1320"/>
      <c r="CG206" s="1320"/>
      <c r="CH206" s="1320"/>
      <c r="CI206" s="1320"/>
      <c r="CJ206" s="1320"/>
      <c r="CK206" s="1320"/>
      <c r="CL206" s="1320"/>
      <c r="CM206" s="1320"/>
      <c r="CN206" s="1320"/>
      <c r="CO206" s="1320"/>
      <c r="CP206" s="1320"/>
      <c r="CQ206" s="1320"/>
      <c r="CR206" s="1320"/>
      <c r="CS206" s="1320"/>
      <c r="CT206" s="1320"/>
      <c r="CU206" s="1320"/>
      <c r="CV206" s="1320"/>
      <c r="CW206" s="1320"/>
      <c r="CX206" s="1320"/>
      <c r="CY206" s="1320"/>
      <c r="CZ206" s="1320"/>
      <c r="DA206" s="1320"/>
      <c r="DB206" s="1320"/>
      <c r="DC206" s="1320"/>
      <c r="DD206" s="1320"/>
      <c r="DE206" s="1320"/>
      <c r="DF206" s="1320"/>
      <c r="DG206" s="1320"/>
      <c r="DH206" s="1320"/>
      <c r="DI206" s="1320"/>
      <c r="DJ206" s="1320"/>
      <c r="DK206" s="1320"/>
      <c r="DL206" s="1320"/>
      <c r="DM206" s="1320"/>
      <c r="DN206" s="1320"/>
      <c r="DO206" s="1320"/>
      <c r="DP206" s="1320"/>
      <c r="DQ206" s="1320"/>
      <c r="DR206" s="1320"/>
      <c r="DS206" s="1320"/>
      <c r="DT206" s="1320"/>
      <c r="DU206" s="1320"/>
    </row>
    <row r="207" spans="1:125" ht="15">
      <c r="A207" s="714" t="s">
        <v>1398</v>
      </c>
      <c r="B207" s="1432" t="s">
        <v>967</v>
      </c>
      <c r="C207" s="1327"/>
      <c r="D207" s="737" t="s">
        <v>18</v>
      </c>
      <c r="E207" s="782">
        <f>71+11+1</f>
        <v>83</v>
      </c>
      <c r="F207" s="782">
        <f>54+9+2+24</f>
        <v>89</v>
      </c>
      <c r="G207" s="782">
        <f>45+1+10</f>
        <v>56</v>
      </c>
      <c r="H207" s="968">
        <f>260+4+5</f>
        <v>269</v>
      </c>
      <c r="I207" s="968">
        <v>15</v>
      </c>
      <c r="J207" s="968">
        <f>142+2+3</f>
        <v>147</v>
      </c>
      <c r="K207" s="968">
        <f>276+8+19</f>
        <v>303</v>
      </c>
      <c r="L207" s="968">
        <v>53</v>
      </c>
      <c r="M207" s="968">
        <f>508+16+6</f>
        <v>530</v>
      </c>
      <c r="N207" s="774">
        <f>SUM(E207:M207)</f>
        <v>1545</v>
      </c>
      <c r="O207" s="771"/>
      <c r="P207" s="711">
        <f t="shared" si="23"/>
        <v>0</v>
      </c>
    </row>
    <row r="208" spans="1:125" s="592" customFormat="1" ht="16.5" customHeight="1">
      <c r="A208" s="717" t="s">
        <v>712</v>
      </c>
      <c r="B208" s="1062" t="s">
        <v>395</v>
      </c>
      <c r="C208" s="1420" t="s">
        <v>2535</v>
      </c>
      <c r="D208" s="740"/>
      <c r="E208" s="973"/>
      <c r="F208" s="973"/>
      <c r="G208" s="973"/>
      <c r="H208" s="782"/>
      <c r="I208" s="782"/>
      <c r="J208" s="782"/>
      <c r="K208" s="782"/>
      <c r="L208" s="782"/>
      <c r="M208" s="782"/>
      <c r="N208" s="774"/>
      <c r="O208" s="775"/>
      <c r="P208" s="711"/>
      <c r="Q208" s="1320"/>
      <c r="R208" s="1320"/>
      <c r="S208" s="1320"/>
      <c r="T208" s="1320"/>
      <c r="U208" s="1320"/>
      <c r="V208" s="1320"/>
      <c r="W208" s="1320"/>
      <c r="X208" s="1320"/>
      <c r="Y208" s="1320"/>
      <c r="Z208" s="1320"/>
      <c r="AA208" s="1320"/>
      <c r="AB208" s="1320"/>
      <c r="AC208" s="1320"/>
      <c r="AD208" s="1320"/>
      <c r="AE208" s="1320"/>
      <c r="AF208" s="1320"/>
      <c r="AG208" s="1320"/>
      <c r="AH208" s="1320"/>
      <c r="AI208" s="1320"/>
      <c r="AJ208" s="1320"/>
      <c r="AK208" s="1320"/>
      <c r="AL208" s="1320"/>
      <c r="AM208" s="1320"/>
      <c r="AN208" s="1320"/>
      <c r="AO208" s="1320"/>
      <c r="AP208" s="1320"/>
      <c r="AQ208" s="1320"/>
      <c r="AR208" s="1320"/>
      <c r="AS208" s="1320"/>
      <c r="AT208" s="1320"/>
      <c r="AU208" s="1320"/>
      <c r="AV208" s="1320"/>
      <c r="AW208" s="1320"/>
      <c r="AX208" s="1320"/>
      <c r="AY208" s="1320"/>
      <c r="AZ208" s="1320"/>
      <c r="BA208" s="1320"/>
      <c r="BB208" s="1320"/>
      <c r="BC208" s="1320"/>
      <c r="BD208" s="1320"/>
      <c r="BE208" s="1320"/>
      <c r="BF208" s="1320"/>
      <c r="BG208" s="1320"/>
      <c r="BH208" s="1320"/>
      <c r="BI208" s="1320"/>
      <c r="BJ208" s="1320"/>
      <c r="BK208" s="1320"/>
      <c r="BL208" s="1320"/>
      <c r="BM208" s="1320"/>
      <c r="BN208" s="1320"/>
      <c r="BO208" s="1320"/>
      <c r="BP208" s="1320"/>
      <c r="BQ208" s="1320"/>
      <c r="BR208" s="1320"/>
      <c r="BS208" s="1320"/>
      <c r="BT208" s="1320"/>
      <c r="BU208" s="1320"/>
      <c r="BV208" s="1320"/>
      <c r="BW208" s="1320"/>
      <c r="BX208" s="1320"/>
      <c r="BY208" s="1320"/>
      <c r="BZ208" s="1320"/>
      <c r="CA208" s="1320"/>
      <c r="CB208" s="1320"/>
      <c r="CC208" s="1320"/>
      <c r="CD208" s="1320"/>
      <c r="CE208" s="1320"/>
      <c r="CF208" s="1320"/>
      <c r="CG208" s="1320"/>
      <c r="CH208" s="1320"/>
      <c r="CI208" s="1320"/>
      <c r="CJ208" s="1320"/>
      <c r="CK208" s="1320"/>
      <c r="CL208" s="1320"/>
      <c r="CM208" s="1320"/>
      <c r="CN208" s="1320"/>
      <c r="CO208" s="1320"/>
      <c r="CP208" s="1320"/>
      <c r="CQ208" s="1320"/>
      <c r="CR208" s="1320"/>
      <c r="CS208" s="1320"/>
      <c r="CT208" s="1320"/>
      <c r="CU208" s="1320"/>
      <c r="CV208" s="1320"/>
      <c r="CW208" s="1320"/>
      <c r="CX208" s="1320"/>
      <c r="CY208" s="1320"/>
      <c r="CZ208" s="1320"/>
      <c r="DA208" s="1320"/>
      <c r="DB208" s="1320"/>
      <c r="DC208" s="1320"/>
      <c r="DD208" s="1320"/>
      <c r="DE208" s="1320"/>
      <c r="DF208" s="1320"/>
      <c r="DG208" s="1320"/>
      <c r="DH208" s="1320"/>
      <c r="DI208" s="1320"/>
      <c r="DJ208" s="1320"/>
      <c r="DK208" s="1320"/>
      <c r="DL208" s="1320"/>
      <c r="DM208" s="1320"/>
      <c r="DN208" s="1320"/>
      <c r="DO208" s="1320"/>
      <c r="DP208" s="1320"/>
      <c r="DQ208" s="1320"/>
      <c r="DR208" s="1320"/>
      <c r="DS208" s="1320"/>
      <c r="DT208" s="1320"/>
      <c r="DU208" s="1320"/>
    </row>
    <row r="209" spans="1:125" s="592" customFormat="1" ht="16.5" customHeight="1">
      <c r="A209" s="714" t="s">
        <v>1399</v>
      </c>
      <c r="B209" s="789" t="s">
        <v>496</v>
      </c>
      <c r="C209" s="1421"/>
      <c r="D209" s="790" t="s">
        <v>18</v>
      </c>
      <c r="E209" s="973"/>
      <c r="F209" s="973">
        <v>1</v>
      </c>
      <c r="G209" s="973"/>
      <c r="H209" s="782"/>
      <c r="I209" s="782"/>
      <c r="J209" s="782"/>
      <c r="K209" s="782"/>
      <c r="L209" s="782"/>
      <c r="M209" s="782"/>
      <c r="N209" s="774">
        <f t="shared" ref="N209:N216" si="24">SUM(E209:M209)</f>
        <v>1</v>
      </c>
      <c r="O209" s="771"/>
      <c r="P209" s="711">
        <f t="shared" si="23"/>
        <v>0</v>
      </c>
      <c r="Q209" s="1320"/>
      <c r="R209" s="1320"/>
      <c r="S209" s="1320"/>
      <c r="T209" s="1320"/>
      <c r="U209" s="1320"/>
      <c r="V209" s="1320"/>
      <c r="W209" s="1320"/>
      <c r="X209" s="1320"/>
      <c r="Y209" s="1320"/>
      <c r="Z209" s="1320"/>
      <c r="AA209" s="1320"/>
      <c r="AB209" s="1320"/>
      <c r="AC209" s="1320"/>
      <c r="AD209" s="1320"/>
      <c r="AE209" s="1320"/>
      <c r="AF209" s="1320"/>
      <c r="AG209" s="1320"/>
      <c r="AH209" s="1320"/>
      <c r="AI209" s="1320"/>
      <c r="AJ209" s="1320"/>
      <c r="AK209" s="1320"/>
      <c r="AL209" s="1320"/>
      <c r="AM209" s="1320"/>
      <c r="AN209" s="1320"/>
      <c r="AO209" s="1320"/>
      <c r="AP209" s="1320"/>
      <c r="AQ209" s="1320"/>
      <c r="AR209" s="1320"/>
      <c r="AS209" s="1320"/>
      <c r="AT209" s="1320"/>
      <c r="AU209" s="1320"/>
      <c r="AV209" s="1320"/>
      <c r="AW209" s="1320"/>
      <c r="AX209" s="1320"/>
      <c r="AY209" s="1320"/>
      <c r="AZ209" s="1320"/>
      <c r="BA209" s="1320"/>
      <c r="BB209" s="1320"/>
      <c r="BC209" s="1320"/>
      <c r="BD209" s="1320"/>
      <c r="BE209" s="1320"/>
      <c r="BF209" s="1320"/>
      <c r="BG209" s="1320"/>
      <c r="BH209" s="1320"/>
      <c r="BI209" s="1320"/>
      <c r="BJ209" s="1320"/>
      <c r="BK209" s="1320"/>
      <c r="BL209" s="1320"/>
      <c r="BM209" s="1320"/>
      <c r="BN209" s="1320"/>
      <c r="BO209" s="1320"/>
      <c r="BP209" s="1320"/>
      <c r="BQ209" s="1320"/>
      <c r="BR209" s="1320"/>
      <c r="BS209" s="1320"/>
      <c r="BT209" s="1320"/>
      <c r="BU209" s="1320"/>
      <c r="BV209" s="1320"/>
      <c r="BW209" s="1320"/>
      <c r="BX209" s="1320"/>
      <c r="BY209" s="1320"/>
      <c r="BZ209" s="1320"/>
      <c r="CA209" s="1320"/>
      <c r="CB209" s="1320"/>
      <c r="CC209" s="1320"/>
      <c r="CD209" s="1320"/>
      <c r="CE209" s="1320"/>
      <c r="CF209" s="1320"/>
      <c r="CG209" s="1320"/>
      <c r="CH209" s="1320"/>
      <c r="CI209" s="1320"/>
      <c r="CJ209" s="1320"/>
      <c r="CK209" s="1320"/>
      <c r="CL209" s="1320"/>
      <c r="CM209" s="1320"/>
      <c r="CN209" s="1320"/>
      <c r="CO209" s="1320"/>
      <c r="CP209" s="1320"/>
      <c r="CQ209" s="1320"/>
      <c r="CR209" s="1320"/>
      <c r="CS209" s="1320"/>
      <c r="CT209" s="1320"/>
      <c r="CU209" s="1320"/>
      <c r="CV209" s="1320"/>
      <c r="CW209" s="1320"/>
      <c r="CX209" s="1320"/>
      <c r="CY209" s="1320"/>
      <c r="CZ209" s="1320"/>
      <c r="DA209" s="1320"/>
      <c r="DB209" s="1320"/>
      <c r="DC209" s="1320"/>
      <c r="DD209" s="1320"/>
      <c r="DE209" s="1320"/>
      <c r="DF209" s="1320"/>
      <c r="DG209" s="1320"/>
      <c r="DH209" s="1320"/>
      <c r="DI209" s="1320"/>
      <c r="DJ209" s="1320"/>
      <c r="DK209" s="1320"/>
      <c r="DL209" s="1320"/>
      <c r="DM209" s="1320"/>
      <c r="DN209" s="1320"/>
      <c r="DO209" s="1320"/>
      <c r="DP209" s="1320"/>
      <c r="DQ209" s="1320"/>
      <c r="DR209" s="1320"/>
      <c r="DS209" s="1320"/>
      <c r="DT209" s="1320"/>
      <c r="DU209" s="1320"/>
    </row>
    <row r="210" spans="1:125" s="802" customFormat="1" ht="16.5" customHeight="1">
      <c r="A210" s="714" t="s">
        <v>1400</v>
      </c>
      <c r="B210" s="789" t="s">
        <v>114</v>
      </c>
      <c r="C210" s="1421"/>
      <c r="D210" s="790" t="s">
        <v>18</v>
      </c>
      <c r="E210" s="973">
        <v>2</v>
      </c>
      <c r="F210" s="973">
        <v>2</v>
      </c>
      <c r="G210" s="973">
        <v>8</v>
      </c>
      <c r="H210" s="782"/>
      <c r="I210" s="782"/>
      <c r="J210" s="782"/>
      <c r="K210" s="782"/>
      <c r="L210" s="782"/>
      <c r="M210" s="782"/>
      <c r="N210" s="774">
        <f t="shared" si="24"/>
        <v>12</v>
      </c>
      <c r="O210" s="771"/>
      <c r="P210" s="711">
        <f t="shared" si="23"/>
        <v>0</v>
      </c>
      <c r="Q210" s="1320"/>
      <c r="R210" s="1320"/>
      <c r="S210" s="1320"/>
      <c r="T210" s="1320"/>
      <c r="U210" s="1320"/>
      <c r="V210" s="1320"/>
      <c r="W210" s="1320"/>
      <c r="X210" s="1320"/>
      <c r="Y210" s="1320"/>
      <c r="Z210" s="1320"/>
      <c r="AA210" s="1320"/>
      <c r="AB210" s="1320"/>
      <c r="AC210" s="1320"/>
      <c r="AD210" s="1320"/>
      <c r="AE210" s="1320"/>
      <c r="AF210" s="1320"/>
      <c r="AG210" s="1320"/>
      <c r="AH210" s="1320"/>
      <c r="AI210" s="1320"/>
      <c r="AJ210" s="1320"/>
      <c r="AK210" s="1320"/>
      <c r="AL210" s="1320"/>
      <c r="AM210" s="1320"/>
      <c r="AN210" s="1320"/>
      <c r="AO210" s="1320"/>
      <c r="AP210" s="1320"/>
      <c r="AQ210" s="1320"/>
      <c r="AR210" s="1320"/>
      <c r="AS210" s="1320"/>
      <c r="AT210" s="1320"/>
      <c r="AU210" s="1320"/>
      <c r="AV210" s="1320"/>
      <c r="AW210" s="1320"/>
      <c r="AX210" s="1320"/>
      <c r="AY210" s="1320"/>
      <c r="AZ210" s="1320"/>
      <c r="BA210" s="1320"/>
      <c r="BB210" s="1320"/>
      <c r="BC210" s="1320"/>
      <c r="BD210" s="1320"/>
      <c r="BE210" s="1320"/>
      <c r="BF210" s="1320"/>
      <c r="BG210" s="1320"/>
      <c r="BH210" s="1320"/>
      <c r="BI210" s="1320"/>
      <c r="BJ210" s="1320"/>
      <c r="BK210" s="1320"/>
      <c r="BL210" s="1320"/>
      <c r="BM210" s="1320"/>
      <c r="BN210" s="1320"/>
      <c r="BO210" s="1320"/>
      <c r="BP210" s="1320"/>
      <c r="BQ210" s="1320"/>
      <c r="BR210" s="1320"/>
      <c r="BS210" s="1320"/>
      <c r="BT210" s="1320"/>
      <c r="BU210" s="1320"/>
      <c r="BV210" s="1320"/>
      <c r="BW210" s="1320"/>
      <c r="BX210" s="1320"/>
      <c r="BY210" s="1320"/>
      <c r="BZ210" s="1320"/>
      <c r="CA210" s="1320"/>
      <c r="CB210" s="1320"/>
      <c r="CC210" s="1320"/>
      <c r="CD210" s="1320"/>
      <c r="CE210" s="1320"/>
      <c r="CF210" s="1320"/>
      <c r="CG210" s="1320"/>
      <c r="CH210" s="1320"/>
      <c r="CI210" s="1320"/>
      <c r="CJ210" s="1320"/>
      <c r="CK210" s="1320"/>
      <c r="CL210" s="1320"/>
      <c r="CM210" s="1320"/>
      <c r="CN210" s="1320"/>
      <c r="CO210" s="1320"/>
      <c r="CP210" s="1320"/>
      <c r="CQ210" s="1320"/>
      <c r="CR210" s="1320"/>
      <c r="CS210" s="1320"/>
      <c r="CT210" s="1320"/>
      <c r="CU210" s="1320"/>
      <c r="CV210" s="1320"/>
      <c r="CW210" s="1320"/>
      <c r="CX210" s="1320"/>
      <c r="CY210" s="1320"/>
      <c r="CZ210" s="1320"/>
      <c r="DA210" s="1320"/>
      <c r="DB210" s="1320"/>
      <c r="DC210" s="1320"/>
      <c r="DD210" s="1320"/>
      <c r="DE210" s="1320"/>
      <c r="DF210" s="1320"/>
      <c r="DG210" s="1320"/>
      <c r="DH210" s="1320"/>
      <c r="DI210" s="1320"/>
      <c r="DJ210" s="1320"/>
      <c r="DK210" s="1320"/>
      <c r="DL210" s="1320"/>
      <c r="DM210" s="1320"/>
      <c r="DN210" s="1320"/>
      <c r="DO210" s="1320"/>
      <c r="DP210" s="1320"/>
      <c r="DQ210" s="1320"/>
      <c r="DR210" s="1320"/>
      <c r="DS210" s="1320"/>
      <c r="DT210" s="1320"/>
      <c r="DU210" s="1320"/>
    </row>
    <row r="211" spans="1:125" s="802" customFormat="1" ht="16.5" customHeight="1">
      <c r="A211" s="714" t="s">
        <v>1401</v>
      </c>
      <c r="B211" s="789" t="s">
        <v>74</v>
      </c>
      <c r="C211" s="1421"/>
      <c r="D211" s="790" t="s">
        <v>18</v>
      </c>
      <c r="E211" s="973">
        <v>4</v>
      </c>
      <c r="F211" s="973">
        <f>1+2</f>
        <v>3</v>
      </c>
      <c r="G211" s="973">
        <v>6</v>
      </c>
      <c r="H211" s="782"/>
      <c r="I211" s="782"/>
      <c r="J211" s="782"/>
      <c r="K211" s="782"/>
      <c r="L211" s="782"/>
      <c r="M211" s="782"/>
      <c r="N211" s="774">
        <f t="shared" si="24"/>
        <v>13</v>
      </c>
      <c r="O211" s="771"/>
      <c r="P211" s="711">
        <f t="shared" si="23"/>
        <v>0</v>
      </c>
      <c r="Q211" s="1320"/>
      <c r="R211" s="1320"/>
      <c r="S211" s="1320"/>
      <c r="T211" s="1320"/>
      <c r="U211" s="1320"/>
      <c r="V211" s="1320"/>
      <c r="W211" s="1320"/>
      <c r="X211" s="1320"/>
      <c r="Y211" s="1320"/>
      <c r="Z211" s="1320"/>
      <c r="AA211" s="1320"/>
      <c r="AB211" s="1320"/>
      <c r="AC211" s="1320"/>
      <c r="AD211" s="1320"/>
      <c r="AE211" s="1320"/>
      <c r="AF211" s="1320"/>
      <c r="AG211" s="1320"/>
      <c r="AH211" s="1320"/>
      <c r="AI211" s="1320"/>
      <c r="AJ211" s="1320"/>
      <c r="AK211" s="1320"/>
      <c r="AL211" s="1320"/>
      <c r="AM211" s="1320"/>
      <c r="AN211" s="1320"/>
      <c r="AO211" s="1320"/>
      <c r="AP211" s="1320"/>
      <c r="AQ211" s="1320"/>
      <c r="AR211" s="1320"/>
      <c r="AS211" s="1320"/>
      <c r="AT211" s="1320"/>
      <c r="AU211" s="1320"/>
      <c r="AV211" s="1320"/>
      <c r="AW211" s="1320"/>
      <c r="AX211" s="1320"/>
      <c r="AY211" s="1320"/>
      <c r="AZ211" s="1320"/>
      <c r="BA211" s="1320"/>
      <c r="BB211" s="1320"/>
      <c r="BC211" s="1320"/>
      <c r="BD211" s="1320"/>
      <c r="BE211" s="1320"/>
      <c r="BF211" s="1320"/>
      <c r="BG211" s="1320"/>
      <c r="BH211" s="1320"/>
      <c r="BI211" s="1320"/>
      <c r="BJ211" s="1320"/>
      <c r="BK211" s="1320"/>
      <c r="BL211" s="1320"/>
      <c r="BM211" s="1320"/>
      <c r="BN211" s="1320"/>
      <c r="BO211" s="1320"/>
      <c r="BP211" s="1320"/>
      <c r="BQ211" s="1320"/>
      <c r="BR211" s="1320"/>
      <c r="BS211" s="1320"/>
      <c r="BT211" s="1320"/>
      <c r="BU211" s="1320"/>
      <c r="BV211" s="1320"/>
      <c r="BW211" s="1320"/>
      <c r="BX211" s="1320"/>
      <c r="BY211" s="1320"/>
      <c r="BZ211" s="1320"/>
      <c r="CA211" s="1320"/>
      <c r="CB211" s="1320"/>
      <c r="CC211" s="1320"/>
      <c r="CD211" s="1320"/>
      <c r="CE211" s="1320"/>
      <c r="CF211" s="1320"/>
      <c r="CG211" s="1320"/>
      <c r="CH211" s="1320"/>
      <c r="CI211" s="1320"/>
      <c r="CJ211" s="1320"/>
      <c r="CK211" s="1320"/>
      <c r="CL211" s="1320"/>
      <c r="CM211" s="1320"/>
      <c r="CN211" s="1320"/>
      <c r="CO211" s="1320"/>
      <c r="CP211" s="1320"/>
      <c r="CQ211" s="1320"/>
      <c r="CR211" s="1320"/>
      <c r="CS211" s="1320"/>
      <c r="CT211" s="1320"/>
      <c r="CU211" s="1320"/>
      <c r="CV211" s="1320"/>
      <c r="CW211" s="1320"/>
      <c r="CX211" s="1320"/>
      <c r="CY211" s="1320"/>
      <c r="CZ211" s="1320"/>
      <c r="DA211" s="1320"/>
      <c r="DB211" s="1320"/>
      <c r="DC211" s="1320"/>
      <c r="DD211" s="1320"/>
      <c r="DE211" s="1320"/>
      <c r="DF211" s="1320"/>
      <c r="DG211" s="1320"/>
      <c r="DH211" s="1320"/>
      <c r="DI211" s="1320"/>
      <c r="DJ211" s="1320"/>
      <c r="DK211" s="1320"/>
      <c r="DL211" s="1320"/>
      <c r="DM211" s="1320"/>
      <c r="DN211" s="1320"/>
      <c r="DO211" s="1320"/>
      <c r="DP211" s="1320"/>
      <c r="DQ211" s="1320"/>
      <c r="DR211" s="1320"/>
      <c r="DS211" s="1320"/>
      <c r="DT211" s="1320"/>
      <c r="DU211" s="1320"/>
    </row>
    <row r="212" spans="1:125" s="802" customFormat="1" ht="16.5" customHeight="1">
      <c r="A212" s="714" t="s">
        <v>1402</v>
      </c>
      <c r="B212" s="789" t="s">
        <v>349</v>
      </c>
      <c r="C212" s="1421"/>
      <c r="D212" s="790" t="s">
        <v>18</v>
      </c>
      <c r="E212" s="973"/>
      <c r="F212" s="973">
        <f>2+2</f>
        <v>4</v>
      </c>
      <c r="G212" s="973">
        <v>1</v>
      </c>
      <c r="H212" s="782"/>
      <c r="I212" s="782"/>
      <c r="J212" s="782"/>
      <c r="K212" s="782"/>
      <c r="L212" s="782"/>
      <c r="M212" s="782"/>
      <c r="N212" s="774">
        <f t="shared" si="24"/>
        <v>5</v>
      </c>
      <c r="O212" s="771"/>
      <c r="P212" s="711">
        <f t="shared" si="23"/>
        <v>0</v>
      </c>
      <c r="Q212" s="1320"/>
      <c r="R212" s="1320"/>
      <c r="S212" s="1320"/>
      <c r="T212" s="1320"/>
      <c r="U212" s="1320"/>
      <c r="V212" s="1320"/>
      <c r="W212" s="1320"/>
      <c r="X212" s="1320"/>
      <c r="Y212" s="1320"/>
      <c r="Z212" s="1320"/>
      <c r="AA212" s="1320"/>
      <c r="AB212" s="1320"/>
      <c r="AC212" s="1320"/>
      <c r="AD212" s="1320"/>
      <c r="AE212" s="1320"/>
      <c r="AF212" s="1320"/>
      <c r="AG212" s="1320"/>
      <c r="AH212" s="1320"/>
      <c r="AI212" s="1320"/>
      <c r="AJ212" s="1320"/>
      <c r="AK212" s="1320"/>
      <c r="AL212" s="1320"/>
      <c r="AM212" s="1320"/>
      <c r="AN212" s="1320"/>
      <c r="AO212" s="1320"/>
      <c r="AP212" s="1320"/>
      <c r="AQ212" s="1320"/>
      <c r="AR212" s="1320"/>
      <c r="AS212" s="1320"/>
      <c r="AT212" s="1320"/>
      <c r="AU212" s="1320"/>
      <c r="AV212" s="1320"/>
      <c r="AW212" s="1320"/>
      <c r="AX212" s="1320"/>
      <c r="AY212" s="1320"/>
      <c r="AZ212" s="1320"/>
      <c r="BA212" s="1320"/>
      <c r="BB212" s="1320"/>
      <c r="BC212" s="1320"/>
      <c r="BD212" s="1320"/>
      <c r="BE212" s="1320"/>
      <c r="BF212" s="1320"/>
      <c r="BG212" s="1320"/>
      <c r="BH212" s="1320"/>
      <c r="BI212" s="1320"/>
      <c r="BJ212" s="1320"/>
      <c r="BK212" s="1320"/>
      <c r="BL212" s="1320"/>
      <c r="BM212" s="1320"/>
      <c r="BN212" s="1320"/>
      <c r="BO212" s="1320"/>
      <c r="BP212" s="1320"/>
      <c r="BQ212" s="1320"/>
      <c r="BR212" s="1320"/>
      <c r="BS212" s="1320"/>
      <c r="BT212" s="1320"/>
      <c r="BU212" s="1320"/>
      <c r="BV212" s="1320"/>
      <c r="BW212" s="1320"/>
      <c r="BX212" s="1320"/>
      <c r="BY212" s="1320"/>
      <c r="BZ212" s="1320"/>
      <c r="CA212" s="1320"/>
      <c r="CB212" s="1320"/>
      <c r="CC212" s="1320"/>
      <c r="CD212" s="1320"/>
      <c r="CE212" s="1320"/>
      <c r="CF212" s="1320"/>
      <c r="CG212" s="1320"/>
      <c r="CH212" s="1320"/>
      <c r="CI212" s="1320"/>
      <c r="CJ212" s="1320"/>
      <c r="CK212" s="1320"/>
      <c r="CL212" s="1320"/>
      <c r="CM212" s="1320"/>
      <c r="CN212" s="1320"/>
      <c r="CO212" s="1320"/>
      <c r="CP212" s="1320"/>
      <c r="CQ212" s="1320"/>
      <c r="CR212" s="1320"/>
      <c r="CS212" s="1320"/>
      <c r="CT212" s="1320"/>
      <c r="CU212" s="1320"/>
      <c r="CV212" s="1320"/>
      <c r="CW212" s="1320"/>
      <c r="CX212" s="1320"/>
      <c r="CY212" s="1320"/>
      <c r="CZ212" s="1320"/>
      <c r="DA212" s="1320"/>
      <c r="DB212" s="1320"/>
      <c r="DC212" s="1320"/>
      <c r="DD212" s="1320"/>
      <c r="DE212" s="1320"/>
      <c r="DF212" s="1320"/>
      <c r="DG212" s="1320"/>
      <c r="DH212" s="1320"/>
      <c r="DI212" s="1320"/>
      <c r="DJ212" s="1320"/>
      <c r="DK212" s="1320"/>
      <c r="DL212" s="1320"/>
      <c r="DM212" s="1320"/>
      <c r="DN212" s="1320"/>
      <c r="DO212" s="1320"/>
      <c r="DP212" s="1320"/>
      <c r="DQ212" s="1320"/>
      <c r="DR212" s="1320"/>
      <c r="DS212" s="1320"/>
      <c r="DT212" s="1320"/>
      <c r="DU212" s="1320"/>
    </row>
    <row r="213" spans="1:125" s="802" customFormat="1" ht="16.5" customHeight="1">
      <c r="A213" s="714" t="s">
        <v>1403</v>
      </c>
      <c r="B213" s="789" t="s">
        <v>548</v>
      </c>
      <c r="C213" s="1421"/>
      <c r="D213" s="790" t="s">
        <v>18</v>
      </c>
      <c r="E213" s="973"/>
      <c r="F213" s="973">
        <f>1+2</f>
        <v>3</v>
      </c>
      <c r="G213" s="973">
        <v>3</v>
      </c>
      <c r="H213" s="782"/>
      <c r="I213" s="782"/>
      <c r="J213" s="782"/>
      <c r="K213" s="782"/>
      <c r="L213" s="782"/>
      <c r="M213" s="782"/>
      <c r="N213" s="774">
        <f t="shared" si="24"/>
        <v>6</v>
      </c>
      <c r="O213" s="771"/>
      <c r="P213" s="711">
        <f t="shared" si="23"/>
        <v>0</v>
      </c>
      <c r="Q213" s="1320"/>
      <c r="R213" s="1320"/>
      <c r="S213" s="1320"/>
      <c r="T213" s="1320"/>
      <c r="U213" s="1320"/>
      <c r="V213" s="1320"/>
      <c r="W213" s="1320"/>
      <c r="X213" s="1320"/>
      <c r="Y213" s="1320"/>
      <c r="Z213" s="1320"/>
      <c r="AA213" s="1320"/>
      <c r="AB213" s="1320"/>
      <c r="AC213" s="1320"/>
      <c r="AD213" s="1320"/>
      <c r="AE213" s="1320"/>
      <c r="AF213" s="1320"/>
      <c r="AG213" s="1320"/>
      <c r="AH213" s="1320"/>
      <c r="AI213" s="1320"/>
      <c r="AJ213" s="1320"/>
      <c r="AK213" s="1320"/>
      <c r="AL213" s="1320"/>
      <c r="AM213" s="1320"/>
      <c r="AN213" s="1320"/>
      <c r="AO213" s="1320"/>
      <c r="AP213" s="1320"/>
      <c r="AQ213" s="1320"/>
      <c r="AR213" s="1320"/>
      <c r="AS213" s="1320"/>
      <c r="AT213" s="1320"/>
      <c r="AU213" s="1320"/>
      <c r="AV213" s="1320"/>
      <c r="AW213" s="1320"/>
      <c r="AX213" s="1320"/>
      <c r="AY213" s="1320"/>
      <c r="AZ213" s="1320"/>
      <c r="BA213" s="1320"/>
      <c r="BB213" s="1320"/>
      <c r="BC213" s="1320"/>
      <c r="BD213" s="1320"/>
      <c r="BE213" s="1320"/>
      <c r="BF213" s="1320"/>
      <c r="BG213" s="1320"/>
      <c r="BH213" s="1320"/>
      <c r="BI213" s="1320"/>
      <c r="BJ213" s="1320"/>
      <c r="BK213" s="1320"/>
      <c r="BL213" s="1320"/>
      <c r="BM213" s="1320"/>
      <c r="BN213" s="1320"/>
      <c r="BO213" s="1320"/>
      <c r="BP213" s="1320"/>
      <c r="BQ213" s="1320"/>
      <c r="BR213" s="1320"/>
      <c r="BS213" s="1320"/>
      <c r="BT213" s="1320"/>
      <c r="BU213" s="1320"/>
      <c r="BV213" s="1320"/>
      <c r="BW213" s="1320"/>
      <c r="BX213" s="1320"/>
      <c r="BY213" s="1320"/>
      <c r="BZ213" s="1320"/>
      <c r="CA213" s="1320"/>
      <c r="CB213" s="1320"/>
      <c r="CC213" s="1320"/>
      <c r="CD213" s="1320"/>
      <c r="CE213" s="1320"/>
      <c r="CF213" s="1320"/>
      <c r="CG213" s="1320"/>
      <c r="CH213" s="1320"/>
      <c r="CI213" s="1320"/>
      <c r="CJ213" s="1320"/>
      <c r="CK213" s="1320"/>
      <c r="CL213" s="1320"/>
      <c r="CM213" s="1320"/>
      <c r="CN213" s="1320"/>
      <c r="CO213" s="1320"/>
      <c r="CP213" s="1320"/>
      <c r="CQ213" s="1320"/>
      <c r="CR213" s="1320"/>
      <c r="CS213" s="1320"/>
      <c r="CT213" s="1320"/>
      <c r="CU213" s="1320"/>
      <c r="CV213" s="1320"/>
      <c r="CW213" s="1320"/>
      <c r="CX213" s="1320"/>
      <c r="CY213" s="1320"/>
      <c r="CZ213" s="1320"/>
      <c r="DA213" s="1320"/>
      <c r="DB213" s="1320"/>
      <c r="DC213" s="1320"/>
      <c r="DD213" s="1320"/>
      <c r="DE213" s="1320"/>
      <c r="DF213" s="1320"/>
      <c r="DG213" s="1320"/>
      <c r="DH213" s="1320"/>
      <c r="DI213" s="1320"/>
      <c r="DJ213" s="1320"/>
      <c r="DK213" s="1320"/>
      <c r="DL213" s="1320"/>
      <c r="DM213" s="1320"/>
      <c r="DN213" s="1320"/>
      <c r="DO213" s="1320"/>
      <c r="DP213" s="1320"/>
      <c r="DQ213" s="1320"/>
      <c r="DR213" s="1320"/>
      <c r="DS213" s="1320"/>
      <c r="DT213" s="1320"/>
      <c r="DU213" s="1320"/>
    </row>
    <row r="214" spans="1:125" s="802" customFormat="1" ht="16.5" customHeight="1">
      <c r="A214" s="714" t="s">
        <v>1404</v>
      </c>
      <c r="B214" s="789" t="s">
        <v>350</v>
      </c>
      <c r="C214" s="1421"/>
      <c r="D214" s="790" t="s">
        <v>18</v>
      </c>
      <c r="E214" s="973"/>
      <c r="F214" s="973">
        <v>3</v>
      </c>
      <c r="G214" s="973">
        <v>5</v>
      </c>
      <c r="H214" s="782"/>
      <c r="I214" s="782"/>
      <c r="J214" s="782"/>
      <c r="K214" s="782"/>
      <c r="L214" s="782"/>
      <c r="M214" s="782"/>
      <c r="N214" s="774">
        <f t="shared" si="24"/>
        <v>8</v>
      </c>
      <c r="O214" s="771"/>
      <c r="P214" s="711">
        <f t="shared" si="23"/>
        <v>0</v>
      </c>
      <c r="Q214" s="1320"/>
      <c r="R214" s="1320"/>
      <c r="S214" s="1320"/>
      <c r="T214" s="1320"/>
      <c r="U214" s="1320"/>
      <c r="V214" s="1320"/>
      <c r="W214" s="1320"/>
      <c r="X214" s="1320"/>
      <c r="Y214" s="1320"/>
      <c r="Z214" s="1320"/>
      <c r="AA214" s="1320"/>
      <c r="AB214" s="1320"/>
      <c r="AC214" s="1320"/>
      <c r="AD214" s="1320"/>
      <c r="AE214" s="1320"/>
      <c r="AF214" s="1320"/>
      <c r="AG214" s="1320"/>
      <c r="AH214" s="1320"/>
      <c r="AI214" s="1320"/>
      <c r="AJ214" s="1320"/>
      <c r="AK214" s="1320"/>
      <c r="AL214" s="1320"/>
      <c r="AM214" s="1320"/>
      <c r="AN214" s="1320"/>
      <c r="AO214" s="1320"/>
      <c r="AP214" s="1320"/>
      <c r="AQ214" s="1320"/>
      <c r="AR214" s="1320"/>
      <c r="AS214" s="1320"/>
      <c r="AT214" s="1320"/>
      <c r="AU214" s="1320"/>
      <c r="AV214" s="1320"/>
      <c r="AW214" s="1320"/>
      <c r="AX214" s="1320"/>
      <c r="AY214" s="1320"/>
      <c r="AZ214" s="1320"/>
      <c r="BA214" s="1320"/>
      <c r="BB214" s="1320"/>
      <c r="BC214" s="1320"/>
      <c r="BD214" s="1320"/>
      <c r="BE214" s="1320"/>
      <c r="BF214" s="1320"/>
      <c r="BG214" s="1320"/>
      <c r="BH214" s="1320"/>
      <c r="BI214" s="1320"/>
      <c r="BJ214" s="1320"/>
      <c r="BK214" s="1320"/>
      <c r="BL214" s="1320"/>
      <c r="BM214" s="1320"/>
      <c r="BN214" s="1320"/>
      <c r="BO214" s="1320"/>
      <c r="BP214" s="1320"/>
      <c r="BQ214" s="1320"/>
      <c r="BR214" s="1320"/>
      <c r="BS214" s="1320"/>
      <c r="BT214" s="1320"/>
      <c r="BU214" s="1320"/>
      <c r="BV214" s="1320"/>
      <c r="BW214" s="1320"/>
      <c r="BX214" s="1320"/>
      <c r="BY214" s="1320"/>
      <c r="BZ214" s="1320"/>
      <c r="CA214" s="1320"/>
      <c r="CB214" s="1320"/>
      <c r="CC214" s="1320"/>
      <c r="CD214" s="1320"/>
      <c r="CE214" s="1320"/>
      <c r="CF214" s="1320"/>
      <c r="CG214" s="1320"/>
      <c r="CH214" s="1320"/>
      <c r="CI214" s="1320"/>
      <c r="CJ214" s="1320"/>
      <c r="CK214" s="1320"/>
      <c r="CL214" s="1320"/>
      <c r="CM214" s="1320"/>
      <c r="CN214" s="1320"/>
      <c r="CO214" s="1320"/>
      <c r="CP214" s="1320"/>
      <c r="CQ214" s="1320"/>
      <c r="CR214" s="1320"/>
      <c r="CS214" s="1320"/>
      <c r="CT214" s="1320"/>
      <c r="CU214" s="1320"/>
      <c r="CV214" s="1320"/>
      <c r="CW214" s="1320"/>
      <c r="CX214" s="1320"/>
      <c r="CY214" s="1320"/>
      <c r="CZ214" s="1320"/>
      <c r="DA214" s="1320"/>
      <c r="DB214" s="1320"/>
      <c r="DC214" s="1320"/>
      <c r="DD214" s="1320"/>
      <c r="DE214" s="1320"/>
      <c r="DF214" s="1320"/>
      <c r="DG214" s="1320"/>
      <c r="DH214" s="1320"/>
      <c r="DI214" s="1320"/>
      <c r="DJ214" s="1320"/>
      <c r="DK214" s="1320"/>
      <c r="DL214" s="1320"/>
      <c r="DM214" s="1320"/>
      <c r="DN214" s="1320"/>
      <c r="DO214" s="1320"/>
      <c r="DP214" s="1320"/>
      <c r="DQ214" s="1320"/>
      <c r="DR214" s="1320"/>
      <c r="DS214" s="1320"/>
      <c r="DT214" s="1320"/>
      <c r="DU214" s="1320"/>
    </row>
    <row r="215" spans="1:125">
      <c r="A215" s="714" t="s">
        <v>1405</v>
      </c>
      <c r="B215" s="964" t="s">
        <v>206</v>
      </c>
      <c r="C215" s="1421"/>
      <c r="D215" s="737" t="s">
        <v>18</v>
      </c>
      <c r="E215" s="782"/>
      <c r="F215" s="782">
        <v>8</v>
      </c>
      <c r="G215" s="782"/>
      <c r="H215" s="968"/>
      <c r="I215" s="968"/>
      <c r="J215" s="968"/>
      <c r="K215" s="968"/>
      <c r="L215" s="968"/>
      <c r="M215" s="968"/>
      <c r="N215" s="774">
        <f t="shared" si="24"/>
        <v>8</v>
      </c>
      <c r="O215" s="771"/>
      <c r="P215" s="711">
        <f t="shared" si="23"/>
        <v>0</v>
      </c>
    </row>
    <row r="216" spans="1:125">
      <c r="A216" s="717" t="s">
        <v>713</v>
      </c>
      <c r="B216" s="1060" t="s">
        <v>549</v>
      </c>
      <c r="C216" s="1325" t="s">
        <v>2540</v>
      </c>
      <c r="D216" s="702" t="s">
        <v>11</v>
      </c>
      <c r="E216" s="973"/>
      <c r="F216" s="973">
        <f>18+112</f>
        <v>130</v>
      </c>
      <c r="G216" s="973">
        <f>11+50</f>
        <v>61</v>
      </c>
      <c r="H216" s="968"/>
      <c r="I216" s="968"/>
      <c r="J216" s="968"/>
      <c r="K216" s="968"/>
      <c r="L216" s="968"/>
      <c r="M216" s="968"/>
      <c r="N216" s="774">
        <f t="shared" si="24"/>
        <v>191</v>
      </c>
      <c r="O216" s="771"/>
      <c r="P216" s="711">
        <f t="shared" si="23"/>
        <v>0</v>
      </c>
    </row>
    <row r="217" spans="1:125">
      <c r="A217" s="717" t="s">
        <v>1406</v>
      </c>
      <c r="B217" s="1057" t="s">
        <v>498</v>
      </c>
      <c r="C217" s="1325" t="s">
        <v>2541</v>
      </c>
      <c r="D217" s="702"/>
      <c r="E217" s="782"/>
      <c r="F217" s="782"/>
      <c r="G217" s="782"/>
      <c r="H217" s="977"/>
      <c r="I217" s="968"/>
      <c r="J217" s="968"/>
      <c r="K217" s="977"/>
      <c r="L217" s="968"/>
      <c r="M217" s="968"/>
      <c r="N217" s="774"/>
      <c r="O217" s="775"/>
      <c r="P217" s="711"/>
    </row>
    <row r="218" spans="1:125" s="596" customFormat="1">
      <c r="A218" s="714" t="s">
        <v>1407</v>
      </c>
      <c r="B218" s="964" t="s">
        <v>2542</v>
      </c>
      <c r="C218" s="1327" t="s">
        <v>2543</v>
      </c>
      <c r="D218" s="737" t="s">
        <v>18</v>
      </c>
      <c r="E218" s="782">
        <v>9</v>
      </c>
      <c r="F218" s="782">
        <f>12+216</f>
        <v>228</v>
      </c>
      <c r="G218" s="782">
        <f>5+100</f>
        <v>105</v>
      </c>
      <c r="H218" s="976">
        <f>30+34</f>
        <v>64</v>
      </c>
      <c r="I218" s="968">
        <f>8+6</f>
        <v>14</v>
      </c>
      <c r="J218" s="968">
        <v>35</v>
      </c>
      <c r="K218" s="977">
        <f>54+149</f>
        <v>203</v>
      </c>
      <c r="L218" s="968"/>
      <c r="M218" s="968">
        <f>136+41</f>
        <v>177</v>
      </c>
      <c r="N218" s="774">
        <f>SUM(E218:M218)</f>
        <v>835</v>
      </c>
      <c r="O218" s="771"/>
      <c r="P218" s="711">
        <f t="shared" si="23"/>
        <v>0</v>
      </c>
      <c r="Q218" s="642"/>
      <c r="R218" s="642"/>
      <c r="S218" s="642"/>
      <c r="T218" s="642"/>
      <c r="U218" s="642"/>
      <c r="V218" s="642"/>
      <c r="W218" s="642"/>
      <c r="X218" s="642"/>
      <c r="Y218" s="642"/>
      <c r="Z218" s="642"/>
      <c r="AA218" s="642"/>
      <c r="AB218" s="642"/>
      <c r="AC218" s="642"/>
      <c r="AD218" s="642"/>
      <c r="AE218" s="642"/>
      <c r="AF218" s="642"/>
      <c r="AG218" s="642"/>
      <c r="AH218" s="642"/>
      <c r="AI218" s="642"/>
      <c r="AJ218" s="642"/>
      <c r="AK218" s="642"/>
      <c r="AL218" s="642"/>
      <c r="AM218" s="642"/>
      <c r="AN218" s="642"/>
      <c r="AO218" s="642"/>
      <c r="AP218" s="642"/>
      <c r="AQ218" s="642"/>
      <c r="AR218" s="642"/>
      <c r="AS218" s="642"/>
      <c r="AT218" s="642"/>
      <c r="AU218" s="642"/>
      <c r="AV218" s="642"/>
      <c r="AW218" s="642"/>
      <c r="AX218" s="642"/>
      <c r="AY218" s="642"/>
      <c r="AZ218" s="642"/>
      <c r="BA218" s="642"/>
      <c r="BB218" s="642"/>
      <c r="BC218" s="642"/>
      <c r="BD218" s="642"/>
      <c r="BE218" s="642"/>
      <c r="BF218" s="642"/>
      <c r="BG218" s="642"/>
      <c r="BH218" s="642"/>
      <c r="BI218" s="642"/>
      <c r="BJ218" s="642"/>
      <c r="BK218" s="642"/>
      <c r="BL218" s="642"/>
      <c r="BM218" s="642"/>
      <c r="BN218" s="642"/>
      <c r="BO218" s="642"/>
      <c r="BP218" s="642"/>
      <c r="BQ218" s="642"/>
      <c r="BR218" s="642"/>
      <c r="BS218" s="642"/>
      <c r="BT218" s="642"/>
      <c r="BU218" s="642"/>
      <c r="BV218" s="642"/>
      <c r="BW218" s="642"/>
      <c r="BX218" s="642"/>
      <c r="BY218" s="642"/>
      <c r="BZ218" s="642"/>
      <c r="CA218" s="642"/>
      <c r="CB218" s="642"/>
      <c r="CC218" s="642"/>
      <c r="CD218" s="642"/>
      <c r="CE218" s="642"/>
      <c r="CF218" s="642"/>
      <c r="CG218" s="642"/>
      <c r="CH218" s="642"/>
      <c r="CI218" s="642"/>
      <c r="CJ218" s="642"/>
      <c r="CK218" s="642"/>
      <c r="CL218" s="642"/>
      <c r="CM218" s="642"/>
      <c r="CN218" s="642"/>
      <c r="CO218" s="642"/>
      <c r="CP218" s="642"/>
      <c r="CQ218" s="642"/>
      <c r="CR218" s="642"/>
      <c r="CS218" s="642"/>
      <c r="CT218" s="642"/>
      <c r="CU218" s="642"/>
      <c r="CV218" s="642"/>
      <c r="CW218" s="642"/>
      <c r="CX218" s="642"/>
      <c r="CY218" s="642"/>
      <c r="CZ218" s="642"/>
      <c r="DA218" s="642"/>
      <c r="DB218" s="642"/>
      <c r="DC218" s="642"/>
      <c r="DD218" s="642"/>
      <c r="DE218" s="642"/>
      <c r="DF218" s="642"/>
      <c r="DG218" s="642"/>
      <c r="DH218" s="642"/>
      <c r="DI218" s="642"/>
      <c r="DJ218" s="642"/>
      <c r="DK218" s="642"/>
      <c r="DL218" s="642"/>
      <c r="DM218" s="642"/>
      <c r="DN218" s="642"/>
      <c r="DO218" s="642"/>
      <c r="DP218" s="642"/>
      <c r="DQ218" s="642"/>
      <c r="DR218" s="642"/>
      <c r="DS218" s="642"/>
      <c r="DT218" s="642"/>
      <c r="DU218" s="642"/>
    </row>
    <row r="219" spans="1:125" s="1005" customFormat="1">
      <c r="A219" s="1006" t="s">
        <v>373</v>
      </c>
      <c r="B219" s="999" t="s">
        <v>448</v>
      </c>
      <c r="C219" s="1422"/>
      <c r="D219" s="1000"/>
      <c r="E219" s="825"/>
      <c r="F219" s="825"/>
      <c r="G219" s="825"/>
      <c r="H219" s="1001"/>
      <c r="I219" s="1001"/>
      <c r="J219" s="1001"/>
      <c r="K219" s="1001"/>
      <c r="L219" s="1001"/>
      <c r="M219" s="1001"/>
      <c r="N219" s="1002">
        <f>SUM(E219:M219)</f>
        <v>0</v>
      </c>
      <c r="O219" s="1003"/>
      <c r="P219" s="1004">
        <f t="shared" ref="P219:P229" si="25">N219*O219</f>
        <v>0</v>
      </c>
      <c r="Q219" s="642"/>
      <c r="R219" s="642"/>
      <c r="S219" s="642"/>
      <c r="T219" s="642"/>
      <c r="U219" s="642"/>
      <c r="V219" s="642"/>
      <c r="W219" s="642"/>
      <c r="X219" s="642"/>
      <c r="Y219" s="642"/>
      <c r="Z219" s="642"/>
      <c r="AA219" s="642"/>
      <c r="AB219" s="642"/>
      <c r="AC219" s="642"/>
      <c r="AD219" s="642"/>
      <c r="AE219" s="642"/>
      <c r="AF219" s="642"/>
      <c r="AG219" s="642"/>
      <c r="AH219" s="642"/>
      <c r="AI219" s="642"/>
      <c r="AJ219" s="642"/>
      <c r="AK219" s="642"/>
      <c r="AL219" s="642"/>
      <c r="AM219" s="642"/>
      <c r="AN219" s="642"/>
      <c r="AO219" s="642"/>
      <c r="AP219" s="642"/>
      <c r="AQ219" s="642"/>
      <c r="AR219" s="642"/>
      <c r="AS219" s="642"/>
      <c r="AT219" s="642"/>
      <c r="AU219" s="642"/>
      <c r="AV219" s="642"/>
      <c r="AW219" s="642"/>
      <c r="AX219" s="642"/>
      <c r="AY219" s="642"/>
      <c r="AZ219" s="642"/>
      <c r="BA219" s="642"/>
      <c r="BB219" s="642"/>
      <c r="BC219" s="642"/>
      <c r="BD219" s="642"/>
      <c r="BE219" s="642"/>
      <c r="BF219" s="642"/>
      <c r="BG219" s="642"/>
      <c r="BH219" s="642"/>
      <c r="BI219" s="642"/>
      <c r="BJ219" s="642"/>
      <c r="BK219" s="642"/>
      <c r="BL219" s="642"/>
      <c r="BM219" s="642"/>
      <c r="BN219" s="642"/>
      <c r="BO219" s="642"/>
      <c r="BP219" s="642"/>
      <c r="BQ219" s="642"/>
      <c r="BR219" s="642"/>
      <c r="BS219" s="642"/>
      <c r="BT219" s="642"/>
      <c r="BU219" s="642"/>
      <c r="BV219" s="642"/>
      <c r="BW219" s="642"/>
      <c r="BX219" s="642"/>
      <c r="BY219" s="642"/>
      <c r="BZ219" s="642"/>
      <c r="CA219" s="642"/>
      <c r="CB219" s="642"/>
      <c r="CC219" s="642"/>
      <c r="CD219" s="642"/>
      <c r="CE219" s="642"/>
      <c r="CF219" s="642"/>
      <c r="CG219" s="642"/>
      <c r="CH219" s="642"/>
      <c r="CI219" s="642"/>
      <c r="CJ219" s="642"/>
      <c r="CK219" s="642"/>
      <c r="CL219" s="642"/>
      <c r="CM219" s="642"/>
      <c r="CN219" s="642"/>
      <c r="CO219" s="642"/>
      <c r="CP219" s="642"/>
      <c r="CQ219" s="642"/>
      <c r="CR219" s="642"/>
      <c r="CS219" s="642"/>
      <c r="CT219" s="642"/>
      <c r="CU219" s="642"/>
      <c r="CV219" s="642"/>
      <c r="CW219" s="642"/>
      <c r="CX219" s="642"/>
      <c r="CY219" s="642"/>
      <c r="CZ219" s="642"/>
      <c r="DA219" s="642"/>
      <c r="DB219" s="642"/>
      <c r="DC219" s="642"/>
      <c r="DD219" s="642"/>
      <c r="DE219" s="642"/>
      <c r="DF219" s="642"/>
      <c r="DG219" s="642"/>
      <c r="DH219" s="642"/>
      <c r="DI219" s="642"/>
      <c r="DJ219" s="642"/>
      <c r="DK219" s="642"/>
      <c r="DL219" s="642"/>
      <c r="DM219" s="642"/>
      <c r="DN219" s="642"/>
      <c r="DO219" s="642"/>
      <c r="DP219" s="642"/>
      <c r="DQ219" s="642"/>
      <c r="DR219" s="642"/>
      <c r="DS219" s="642"/>
      <c r="DT219" s="642"/>
      <c r="DU219" s="642"/>
    </row>
    <row r="220" spans="1:125">
      <c r="A220" s="958" t="s">
        <v>690</v>
      </c>
      <c r="B220" s="789" t="s">
        <v>586</v>
      </c>
      <c r="C220" s="1327" t="s">
        <v>585</v>
      </c>
      <c r="D220" s="737" t="s">
        <v>18</v>
      </c>
      <c r="E220" s="782"/>
      <c r="F220" s="782"/>
      <c r="G220" s="782"/>
      <c r="H220" s="968"/>
      <c r="I220" s="968"/>
      <c r="J220" s="970"/>
      <c r="K220" s="970"/>
      <c r="L220" s="970"/>
      <c r="M220" s="970"/>
      <c r="N220" s="774"/>
      <c r="O220" s="775"/>
      <c r="P220" s="711"/>
    </row>
    <row r="221" spans="1:125">
      <c r="A221" s="714" t="s">
        <v>564</v>
      </c>
      <c r="B221" s="1100" t="s">
        <v>1046</v>
      </c>
      <c r="C221" s="1327" t="s">
        <v>588</v>
      </c>
      <c r="D221" s="737" t="s">
        <v>18</v>
      </c>
      <c r="E221" s="782">
        <v>1</v>
      </c>
      <c r="F221" s="782">
        <v>1</v>
      </c>
      <c r="G221" s="782">
        <v>1</v>
      </c>
      <c r="H221" s="968">
        <v>2</v>
      </c>
      <c r="I221" s="968">
        <v>1</v>
      </c>
      <c r="J221" s="968">
        <v>2</v>
      </c>
      <c r="K221" s="968">
        <f>1+6</f>
        <v>7</v>
      </c>
      <c r="L221" s="968"/>
      <c r="M221" s="968">
        <v>3</v>
      </c>
      <c r="N221" s="774">
        <f t="shared" ref="N221:N229" si="26">SUM(E221:M221)</f>
        <v>18</v>
      </c>
      <c r="O221" s="771"/>
      <c r="P221" s="711">
        <f t="shared" si="25"/>
        <v>0</v>
      </c>
    </row>
    <row r="222" spans="1:125">
      <c r="A222" s="714" t="s">
        <v>565</v>
      </c>
      <c r="B222" s="1100" t="s">
        <v>1047</v>
      </c>
      <c r="C222" s="1327" t="s">
        <v>589</v>
      </c>
      <c r="D222" s="737" t="s">
        <v>18</v>
      </c>
      <c r="E222" s="782"/>
      <c r="F222" s="782"/>
      <c r="G222" s="782"/>
      <c r="H222" s="968"/>
      <c r="I222" s="968"/>
      <c r="J222" s="968">
        <v>2</v>
      </c>
      <c r="K222" s="968"/>
      <c r="L222" s="968"/>
      <c r="M222" s="968"/>
      <c r="N222" s="774">
        <f t="shared" si="26"/>
        <v>2</v>
      </c>
      <c r="O222" s="771"/>
      <c r="P222" s="711">
        <f t="shared" si="25"/>
        <v>0</v>
      </c>
    </row>
    <row r="223" spans="1:125">
      <c r="A223" s="958" t="s">
        <v>691</v>
      </c>
      <c r="B223" s="789" t="s">
        <v>597</v>
      </c>
      <c r="C223" s="1327" t="s">
        <v>590</v>
      </c>
      <c r="D223" s="737" t="s">
        <v>18</v>
      </c>
      <c r="E223" s="782"/>
      <c r="F223" s="782"/>
      <c r="G223" s="782"/>
      <c r="H223" s="968">
        <v>1</v>
      </c>
      <c r="I223" s="968"/>
      <c r="J223" s="968"/>
      <c r="K223" s="968"/>
      <c r="L223" s="968"/>
      <c r="M223" s="968"/>
      <c r="N223" s="774">
        <f t="shared" si="26"/>
        <v>1</v>
      </c>
      <c r="O223" s="771"/>
      <c r="P223" s="711">
        <f t="shared" si="25"/>
        <v>0</v>
      </c>
    </row>
    <row r="224" spans="1:125">
      <c r="A224" s="958" t="s">
        <v>692</v>
      </c>
      <c r="B224" s="789" t="s">
        <v>587</v>
      </c>
      <c r="C224" s="1327" t="s">
        <v>592</v>
      </c>
      <c r="D224" s="737" t="s">
        <v>18</v>
      </c>
      <c r="E224" s="782"/>
      <c r="F224" s="782"/>
      <c r="G224" s="782"/>
      <c r="H224" s="968"/>
      <c r="I224" s="968"/>
      <c r="J224" s="968">
        <v>1</v>
      </c>
      <c r="K224" s="968">
        <f>1+1</f>
        <v>2</v>
      </c>
      <c r="L224" s="968"/>
      <c r="M224" s="968"/>
      <c r="N224" s="774">
        <f t="shared" si="26"/>
        <v>3</v>
      </c>
      <c r="O224" s="771"/>
      <c r="P224" s="711">
        <f t="shared" si="25"/>
        <v>0</v>
      </c>
    </row>
    <row r="225" spans="1:125">
      <c r="A225" s="958" t="s">
        <v>1112</v>
      </c>
      <c r="B225" s="789" t="s">
        <v>591</v>
      </c>
      <c r="C225" s="1327" t="s">
        <v>593</v>
      </c>
      <c r="D225" s="737" t="s">
        <v>18</v>
      </c>
      <c r="E225" s="782"/>
      <c r="F225" s="782"/>
      <c r="G225" s="782"/>
      <c r="H225" s="968"/>
      <c r="I225" s="968"/>
      <c r="J225" s="968">
        <v>1</v>
      </c>
      <c r="K225" s="968">
        <v>1</v>
      </c>
      <c r="L225" s="968">
        <v>1</v>
      </c>
      <c r="M225" s="968">
        <v>2</v>
      </c>
      <c r="N225" s="774">
        <f t="shared" si="26"/>
        <v>5</v>
      </c>
      <c r="O225" s="771"/>
      <c r="P225" s="711">
        <f t="shared" si="25"/>
        <v>0</v>
      </c>
    </row>
    <row r="226" spans="1:125">
      <c r="A226" s="958" t="s">
        <v>714</v>
      </c>
      <c r="B226" s="789" t="s">
        <v>595</v>
      </c>
      <c r="C226" s="1327" t="s">
        <v>596</v>
      </c>
      <c r="D226" s="737" t="s">
        <v>18</v>
      </c>
      <c r="E226" s="782"/>
      <c r="F226" s="782"/>
      <c r="G226" s="782"/>
      <c r="H226" s="968">
        <v>1</v>
      </c>
      <c r="I226" s="968">
        <v>1</v>
      </c>
      <c r="J226" s="968"/>
      <c r="K226" s="968">
        <v>1</v>
      </c>
      <c r="L226" s="968"/>
      <c r="M226" s="968"/>
      <c r="N226" s="774">
        <f t="shared" si="26"/>
        <v>3</v>
      </c>
      <c r="O226" s="771"/>
      <c r="P226" s="711">
        <f t="shared" si="25"/>
        <v>0</v>
      </c>
    </row>
    <row r="227" spans="1:125">
      <c r="A227" s="958" t="s">
        <v>1408</v>
      </c>
      <c r="B227" s="789" t="s">
        <v>615</v>
      </c>
      <c r="C227" s="1327" t="s">
        <v>598</v>
      </c>
      <c r="D227" s="737" t="s">
        <v>18</v>
      </c>
      <c r="E227" s="782"/>
      <c r="F227" s="782"/>
      <c r="G227" s="782"/>
      <c r="H227" s="968"/>
      <c r="I227" s="968"/>
      <c r="J227" s="968"/>
      <c r="K227" s="968">
        <v>1</v>
      </c>
      <c r="L227" s="968"/>
      <c r="M227" s="968"/>
      <c r="N227" s="774">
        <f t="shared" si="26"/>
        <v>1</v>
      </c>
      <c r="O227" s="771"/>
      <c r="P227" s="711">
        <f t="shared" si="25"/>
        <v>0</v>
      </c>
    </row>
    <row r="228" spans="1:125">
      <c r="A228" s="714" t="s">
        <v>576</v>
      </c>
      <c r="B228" s="1036" t="s">
        <v>613</v>
      </c>
      <c r="C228" s="1327" t="s">
        <v>616</v>
      </c>
      <c r="D228" s="737" t="s">
        <v>18</v>
      </c>
      <c r="E228" s="782"/>
      <c r="F228" s="782"/>
      <c r="G228" s="782"/>
      <c r="H228" s="968"/>
      <c r="I228" s="968">
        <v>1</v>
      </c>
      <c r="J228" s="968">
        <v>1</v>
      </c>
      <c r="K228" s="968"/>
      <c r="L228" s="968"/>
      <c r="M228" s="968"/>
      <c r="N228" s="774">
        <f t="shared" si="26"/>
        <v>2</v>
      </c>
      <c r="O228" s="771"/>
      <c r="P228" s="711">
        <f t="shared" si="25"/>
        <v>0</v>
      </c>
    </row>
    <row r="229" spans="1:125">
      <c r="A229" s="714" t="s">
        <v>577</v>
      </c>
      <c r="B229" s="1036" t="s">
        <v>614</v>
      </c>
      <c r="C229" s="1327" t="s">
        <v>617</v>
      </c>
      <c r="D229" s="737" t="s">
        <v>18</v>
      </c>
      <c r="E229" s="782"/>
      <c r="F229" s="782"/>
      <c r="G229" s="782"/>
      <c r="H229" s="968"/>
      <c r="I229" s="968"/>
      <c r="J229" s="968"/>
      <c r="K229" s="968">
        <f>1+1</f>
        <v>2</v>
      </c>
      <c r="L229" s="968">
        <v>1</v>
      </c>
      <c r="M229" s="968"/>
      <c r="N229" s="774">
        <f t="shared" si="26"/>
        <v>3</v>
      </c>
      <c r="O229" s="771"/>
      <c r="P229" s="711">
        <f t="shared" si="25"/>
        <v>0</v>
      </c>
    </row>
    <row r="230" spans="1:125" s="592" customFormat="1">
      <c r="A230" s="715" t="s">
        <v>1409</v>
      </c>
      <c r="B230" s="1056" t="s">
        <v>348</v>
      </c>
      <c r="C230" s="1419" t="s">
        <v>2548</v>
      </c>
      <c r="D230" s="739"/>
      <c r="E230" s="709"/>
      <c r="F230" s="709"/>
      <c r="G230" s="709"/>
      <c r="H230" s="709"/>
      <c r="I230" s="709"/>
      <c r="J230" s="709"/>
      <c r="K230" s="709"/>
      <c r="L230" s="709"/>
      <c r="M230" s="709"/>
      <c r="N230" s="773"/>
      <c r="O230" s="773"/>
      <c r="P230" s="707">
        <f>SUM(P231:P255)</f>
        <v>0</v>
      </c>
      <c r="Q230" s="1320"/>
      <c r="R230" s="1320"/>
      <c r="S230" s="1320"/>
      <c r="T230" s="1320"/>
      <c r="U230" s="1320"/>
      <c r="V230" s="1320"/>
      <c r="W230" s="1320"/>
      <c r="X230" s="1320"/>
      <c r="Y230" s="1320"/>
      <c r="Z230" s="1320"/>
      <c r="AA230" s="1320"/>
      <c r="AB230" s="1320"/>
      <c r="AC230" s="1320"/>
      <c r="AD230" s="1320"/>
      <c r="AE230" s="1320"/>
      <c r="AF230" s="1320"/>
      <c r="AG230" s="1320"/>
      <c r="AH230" s="1320"/>
      <c r="AI230" s="1320"/>
      <c r="AJ230" s="1320"/>
      <c r="AK230" s="1320"/>
      <c r="AL230" s="1320"/>
      <c r="AM230" s="1320"/>
      <c r="AN230" s="1320"/>
      <c r="AO230" s="1320"/>
      <c r="AP230" s="1320"/>
      <c r="AQ230" s="1320"/>
      <c r="AR230" s="1320"/>
      <c r="AS230" s="1320"/>
      <c r="AT230" s="1320"/>
      <c r="AU230" s="1320"/>
      <c r="AV230" s="1320"/>
      <c r="AW230" s="1320"/>
      <c r="AX230" s="1320"/>
      <c r="AY230" s="1320"/>
      <c r="AZ230" s="1320"/>
      <c r="BA230" s="1320"/>
      <c r="BB230" s="1320"/>
      <c r="BC230" s="1320"/>
      <c r="BD230" s="1320"/>
      <c r="BE230" s="1320"/>
      <c r="BF230" s="1320"/>
      <c r="BG230" s="1320"/>
      <c r="BH230" s="1320"/>
      <c r="BI230" s="1320"/>
      <c r="BJ230" s="1320"/>
      <c r="BK230" s="1320"/>
      <c r="BL230" s="1320"/>
      <c r="BM230" s="1320"/>
      <c r="BN230" s="1320"/>
      <c r="BO230" s="1320"/>
      <c r="BP230" s="1320"/>
      <c r="BQ230" s="1320"/>
      <c r="BR230" s="1320"/>
      <c r="BS230" s="1320"/>
      <c r="BT230" s="1320"/>
      <c r="BU230" s="1320"/>
      <c r="BV230" s="1320"/>
      <c r="BW230" s="1320"/>
      <c r="BX230" s="1320"/>
      <c r="BY230" s="1320"/>
      <c r="BZ230" s="1320"/>
      <c r="CA230" s="1320"/>
      <c r="CB230" s="1320"/>
      <c r="CC230" s="1320"/>
      <c r="CD230" s="1320"/>
      <c r="CE230" s="1320"/>
      <c r="CF230" s="1320"/>
      <c r="CG230" s="1320"/>
      <c r="CH230" s="1320"/>
      <c r="CI230" s="1320"/>
      <c r="CJ230" s="1320"/>
      <c r="CK230" s="1320"/>
      <c r="CL230" s="1320"/>
      <c r="CM230" s="1320"/>
      <c r="CN230" s="1320"/>
      <c r="CO230" s="1320"/>
      <c r="CP230" s="1320"/>
      <c r="CQ230" s="1320"/>
      <c r="CR230" s="1320"/>
      <c r="CS230" s="1320"/>
      <c r="CT230" s="1320"/>
      <c r="CU230" s="1320"/>
      <c r="CV230" s="1320"/>
      <c r="CW230" s="1320"/>
      <c r="CX230" s="1320"/>
      <c r="CY230" s="1320"/>
      <c r="CZ230" s="1320"/>
      <c r="DA230" s="1320"/>
      <c r="DB230" s="1320"/>
      <c r="DC230" s="1320"/>
      <c r="DD230" s="1320"/>
      <c r="DE230" s="1320"/>
      <c r="DF230" s="1320"/>
      <c r="DG230" s="1320"/>
      <c r="DH230" s="1320"/>
      <c r="DI230" s="1320"/>
      <c r="DJ230" s="1320"/>
      <c r="DK230" s="1320"/>
      <c r="DL230" s="1320"/>
      <c r="DM230" s="1320"/>
      <c r="DN230" s="1320"/>
      <c r="DO230" s="1320"/>
      <c r="DP230" s="1320"/>
      <c r="DQ230" s="1320"/>
      <c r="DR230" s="1320"/>
      <c r="DS230" s="1320"/>
      <c r="DT230" s="1320"/>
      <c r="DU230" s="1320"/>
    </row>
    <row r="231" spans="1:125" s="798" customFormat="1">
      <c r="A231" s="717" t="s">
        <v>806</v>
      </c>
      <c r="B231" s="1063" t="s">
        <v>491</v>
      </c>
      <c r="C231" s="1325" t="s">
        <v>2549</v>
      </c>
      <c r="D231" s="740"/>
      <c r="E231" s="782"/>
      <c r="F231" s="782"/>
      <c r="G231" s="782"/>
      <c r="H231" s="782"/>
      <c r="I231" s="782"/>
      <c r="J231" s="782"/>
      <c r="K231" s="782"/>
      <c r="L231" s="782"/>
      <c r="M231" s="782"/>
      <c r="N231" s="774"/>
      <c r="O231" s="939"/>
      <c r="P231" s="711"/>
      <c r="Q231" s="1320"/>
      <c r="R231" s="1320"/>
      <c r="S231" s="1320"/>
      <c r="T231" s="1320"/>
      <c r="U231" s="1320"/>
      <c r="V231" s="1320"/>
      <c r="W231" s="1320"/>
      <c r="X231" s="1320"/>
      <c r="Y231" s="1320"/>
      <c r="Z231" s="1320"/>
      <c r="AA231" s="1320"/>
      <c r="AB231" s="1320"/>
      <c r="AC231" s="1320"/>
      <c r="AD231" s="1320"/>
      <c r="AE231" s="1320"/>
      <c r="AF231" s="1320"/>
      <c r="AG231" s="1320"/>
      <c r="AH231" s="1320"/>
      <c r="AI231" s="1320"/>
      <c r="AJ231" s="1320"/>
      <c r="AK231" s="1320"/>
      <c r="AL231" s="1320"/>
      <c r="AM231" s="1320"/>
      <c r="AN231" s="1320"/>
      <c r="AO231" s="1320"/>
      <c r="AP231" s="1320"/>
      <c r="AQ231" s="1320"/>
      <c r="AR231" s="1320"/>
      <c r="AS231" s="1320"/>
      <c r="AT231" s="1320"/>
      <c r="AU231" s="1320"/>
      <c r="AV231" s="1320"/>
      <c r="AW231" s="1320"/>
      <c r="AX231" s="1320"/>
      <c r="AY231" s="1320"/>
      <c r="AZ231" s="1320"/>
      <c r="BA231" s="1320"/>
      <c r="BB231" s="1320"/>
      <c r="BC231" s="1320"/>
      <c r="BD231" s="1320"/>
      <c r="BE231" s="1320"/>
      <c r="BF231" s="1320"/>
      <c r="BG231" s="1320"/>
      <c r="BH231" s="1320"/>
      <c r="BI231" s="1320"/>
      <c r="BJ231" s="1320"/>
      <c r="BK231" s="1320"/>
      <c r="BL231" s="1320"/>
      <c r="BM231" s="1320"/>
      <c r="BN231" s="1320"/>
      <c r="BO231" s="1320"/>
      <c r="BP231" s="1320"/>
      <c r="BQ231" s="1320"/>
      <c r="BR231" s="1320"/>
      <c r="BS231" s="1320"/>
      <c r="BT231" s="1320"/>
      <c r="BU231" s="1320"/>
      <c r="BV231" s="1320"/>
      <c r="BW231" s="1320"/>
      <c r="BX231" s="1320"/>
      <c r="BY231" s="1320"/>
      <c r="BZ231" s="1320"/>
      <c r="CA231" s="1320"/>
      <c r="CB231" s="1320"/>
      <c r="CC231" s="1320"/>
      <c r="CD231" s="1320"/>
      <c r="CE231" s="1320"/>
      <c r="CF231" s="1320"/>
      <c r="CG231" s="1320"/>
      <c r="CH231" s="1320"/>
      <c r="CI231" s="1320"/>
      <c r="CJ231" s="1320"/>
      <c r="CK231" s="1320"/>
      <c r="CL231" s="1320"/>
      <c r="CM231" s="1320"/>
      <c r="CN231" s="1320"/>
      <c r="CO231" s="1320"/>
      <c r="CP231" s="1320"/>
      <c r="CQ231" s="1320"/>
      <c r="CR231" s="1320"/>
      <c r="CS231" s="1320"/>
      <c r="CT231" s="1320"/>
      <c r="CU231" s="1320"/>
      <c r="CV231" s="1320"/>
      <c r="CW231" s="1320"/>
      <c r="CX231" s="1320"/>
      <c r="CY231" s="1320"/>
      <c r="CZ231" s="1320"/>
      <c r="DA231" s="1320"/>
      <c r="DB231" s="1320"/>
      <c r="DC231" s="1320"/>
      <c r="DD231" s="1320"/>
      <c r="DE231" s="1320"/>
      <c r="DF231" s="1320"/>
      <c r="DG231" s="1320"/>
      <c r="DH231" s="1320"/>
      <c r="DI231" s="1320"/>
      <c r="DJ231" s="1320"/>
      <c r="DK231" s="1320"/>
      <c r="DL231" s="1320"/>
      <c r="DM231" s="1320"/>
      <c r="DN231" s="1320"/>
      <c r="DO231" s="1320"/>
      <c r="DP231" s="1320"/>
      <c r="DQ231" s="1320"/>
      <c r="DR231" s="1320"/>
      <c r="DS231" s="1320"/>
      <c r="DT231" s="1320"/>
      <c r="DU231" s="1320"/>
    </row>
    <row r="232" spans="1:125" s="797" customFormat="1">
      <c r="A232" s="714" t="s">
        <v>639</v>
      </c>
      <c r="B232" s="898" t="s">
        <v>492</v>
      </c>
      <c r="C232" s="1421"/>
      <c r="D232" s="790" t="s">
        <v>234</v>
      </c>
      <c r="E232" s="975">
        <v>100</v>
      </c>
      <c r="F232" s="782">
        <v>100</v>
      </c>
      <c r="G232" s="782">
        <v>100</v>
      </c>
      <c r="H232" s="975">
        <v>100</v>
      </c>
      <c r="I232" s="782">
        <v>100</v>
      </c>
      <c r="J232" s="782">
        <v>200</v>
      </c>
      <c r="K232" s="782">
        <v>100</v>
      </c>
      <c r="L232" s="975">
        <v>100</v>
      </c>
      <c r="M232" s="782">
        <v>250</v>
      </c>
      <c r="N232" s="774">
        <f>SUM(E232:M232)</f>
        <v>1150</v>
      </c>
      <c r="O232" s="940"/>
      <c r="P232" s="711">
        <f t="shared" si="23"/>
        <v>0</v>
      </c>
      <c r="Q232" s="1320"/>
      <c r="R232" s="1320"/>
      <c r="S232" s="1320"/>
      <c r="T232" s="1320"/>
      <c r="U232" s="1320"/>
      <c r="V232" s="1320"/>
      <c r="W232" s="1320"/>
      <c r="X232" s="1320"/>
      <c r="Y232" s="1320"/>
      <c r="Z232" s="1320"/>
      <c r="AA232" s="1320"/>
      <c r="AB232" s="1320"/>
      <c r="AC232" s="1320"/>
      <c r="AD232" s="1320"/>
      <c r="AE232" s="1320"/>
      <c r="AF232" s="1320"/>
      <c r="AG232" s="1320"/>
      <c r="AH232" s="1320"/>
      <c r="AI232" s="1320"/>
      <c r="AJ232" s="1320"/>
      <c r="AK232" s="1320"/>
      <c r="AL232" s="1320"/>
      <c r="AM232" s="1320"/>
      <c r="AN232" s="1320"/>
      <c r="AO232" s="1320"/>
      <c r="AP232" s="1320"/>
      <c r="AQ232" s="1320"/>
      <c r="AR232" s="1320"/>
      <c r="AS232" s="1320"/>
      <c r="AT232" s="1320"/>
      <c r="AU232" s="1320"/>
      <c r="AV232" s="1320"/>
      <c r="AW232" s="1320"/>
      <c r="AX232" s="1320"/>
      <c r="AY232" s="1320"/>
      <c r="AZ232" s="1320"/>
      <c r="BA232" s="1320"/>
      <c r="BB232" s="1320"/>
      <c r="BC232" s="1320"/>
      <c r="BD232" s="1320"/>
      <c r="BE232" s="1320"/>
      <c r="BF232" s="1320"/>
      <c r="BG232" s="1320"/>
      <c r="BH232" s="1320"/>
      <c r="BI232" s="1320"/>
      <c r="BJ232" s="1320"/>
      <c r="BK232" s="1320"/>
      <c r="BL232" s="1320"/>
      <c r="BM232" s="1320"/>
      <c r="BN232" s="1320"/>
      <c r="BO232" s="1320"/>
      <c r="BP232" s="1320"/>
      <c r="BQ232" s="1320"/>
      <c r="BR232" s="1320"/>
      <c r="BS232" s="1320"/>
      <c r="BT232" s="1320"/>
      <c r="BU232" s="1320"/>
      <c r="BV232" s="1320"/>
      <c r="BW232" s="1320"/>
      <c r="BX232" s="1320"/>
      <c r="BY232" s="1320"/>
      <c r="BZ232" s="1320"/>
      <c r="CA232" s="1320"/>
      <c r="CB232" s="1320"/>
      <c r="CC232" s="1320"/>
      <c r="CD232" s="1320"/>
      <c r="CE232" s="1320"/>
      <c r="CF232" s="1320"/>
      <c r="CG232" s="1320"/>
      <c r="CH232" s="1320"/>
      <c r="CI232" s="1320"/>
      <c r="CJ232" s="1320"/>
      <c r="CK232" s="1320"/>
      <c r="CL232" s="1320"/>
      <c r="CM232" s="1320"/>
      <c r="CN232" s="1320"/>
      <c r="CO232" s="1320"/>
      <c r="CP232" s="1320"/>
      <c r="CQ232" s="1320"/>
      <c r="CR232" s="1320"/>
      <c r="CS232" s="1320"/>
      <c r="CT232" s="1320"/>
      <c r="CU232" s="1320"/>
      <c r="CV232" s="1320"/>
      <c r="CW232" s="1320"/>
      <c r="CX232" s="1320"/>
      <c r="CY232" s="1320"/>
      <c r="CZ232" s="1320"/>
      <c r="DA232" s="1320"/>
      <c r="DB232" s="1320"/>
      <c r="DC232" s="1320"/>
      <c r="DD232" s="1320"/>
      <c r="DE232" s="1320"/>
      <c r="DF232" s="1320"/>
      <c r="DG232" s="1320"/>
      <c r="DH232" s="1320"/>
      <c r="DI232" s="1320"/>
      <c r="DJ232" s="1320"/>
      <c r="DK232" s="1320"/>
      <c r="DL232" s="1320"/>
      <c r="DM232" s="1320"/>
      <c r="DN232" s="1320"/>
      <c r="DO232" s="1320"/>
      <c r="DP232" s="1320"/>
      <c r="DQ232" s="1320"/>
      <c r="DR232" s="1320"/>
      <c r="DS232" s="1320"/>
      <c r="DT232" s="1320"/>
      <c r="DU232" s="1320"/>
    </row>
    <row r="233" spans="1:125" s="797" customFormat="1">
      <c r="A233" s="714" t="s">
        <v>640</v>
      </c>
      <c r="B233" s="898" t="s">
        <v>493</v>
      </c>
      <c r="C233" s="1421"/>
      <c r="D233" s="790" t="s">
        <v>18</v>
      </c>
      <c r="E233" s="975">
        <v>2</v>
      </c>
      <c r="F233" s="782">
        <v>2</v>
      </c>
      <c r="G233" s="782">
        <v>5</v>
      </c>
      <c r="H233" s="975">
        <v>2</v>
      </c>
      <c r="I233" s="782"/>
      <c r="J233" s="782">
        <v>2</v>
      </c>
      <c r="K233" s="782">
        <v>2</v>
      </c>
      <c r="L233" s="975">
        <v>2</v>
      </c>
      <c r="M233" s="782">
        <v>5</v>
      </c>
      <c r="N233" s="774">
        <f>SUM(E233:M233)</f>
        <v>22</v>
      </c>
      <c r="O233" s="940"/>
      <c r="P233" s="711">
        <f t="shared" si="23"/>
        <v>0</v>
      </c>
      <c r="Q233" s="1320"/>
      <c r="R233" s="1320"/>
      <c r="S233" s="1320"/>
      <c r="T233" s="1320"/>
      <c r="U233" s="1320"/>
      <c r="V233" s="1320"/>
      <c r="W233" s="1320"/>
      <c r="X233" s="1320"/>
      <c r="Y233" s="1320"/>
      <c r="Z233" s="1320"/>
      <c r="AA233" s="1320"/>
      <c r="AB233" s="1320"/>
      <c r="AC233" s="1320"/>
      <c r="AD233" s="1320"/>
      <c r="AE233" s="1320"/>
      <c r="AF233" s="1320"/>
      <c r="AG233" s="1320"/>
      <c r="AH233" s="1320"/>
      <c r="AI233" s="1320"/>
      <c r="AJ233" s="1320"/>
      <c r="AK233" s="1320"/>
      <c r="AL233" s="1320"/>
      <c r="AM233" s="1320"/>
      <c r="AN233" s="1320"/>
      <c r="AO233" s="1320"/>
      <c r="AP233" s="1320"/>
      <c r="AQ233" s="1320"/>
      <c r="AR233" s="1320"/>
      <c r="AS233" s="1320"/>
      <c r="AT233" s="1320"/>
      <c r="AU233" s="1320"/>
      <c r="AV233" s="1320"/>
      <c r="AW233" s="1320"/>
      <c r="AX233" s="1320"/>
      <c r="AY233" s="1320"/>
      <c r="AZ233" s="1320"/>
      <c r="BA233" s="1320"/>
      <c r="BB233" s="1320"/>
      <c r="BC233" s="1320"/>
      <c r="BD233" s="1320"/>
      <c r="BE233" s="1320"/>
      <c r="BF233" s="1320"/>
      <c r="BG233" s="1320"/>
      <c r="BH233" s="1320"/>
      <c r="BI233" s="1320"/>
      <c r="BJ233" s="1320"/>
      <c r="BK233" s="1320"/>
      <c r="BL233" s="1320"/>
      <c r="BM233" s="1320"/>
      <c r="BN233" s="1320"/>
      <c r="BO233" s="1320"/>
      <c r="BP233" s="1320"/>
      <c r="BQ233" s="1320"/>
      <c r="BR233" s="1320"/>
      <c r="BS233" s="1320"/>
      <c r="BT233" s="1320"/>
      <c r="BU233" s="1320"/>
      <c r="BV233" s="1320"/>
      <c r="BW233" s="1320"/>
      <c r="BX233" s="1320"/>
      <c r="BY233" s="1320"/>
      <c r="BZ233" s="1320"/>
      <c r="CA233" s="1320"/>
      <c r="CB233" s="1320"/>
      <c r="CC233" s="1320"/>
      <c r="CD233" s="1320"/>
      <c r="CE233" s="1320"/>
      <c r="CF233" s="1320"/>
      <c r="CG233" s="1320"/>
      <c r="CH233" s="1320"/>
      <c r="CI233" s="1320"/>
      <c r="CJ233" s="1320"/>
      <c r="CK233" s="1320"/>
      <c r="CL233" s="1320"/>
      <c r="CM233" s="1320"/>
      <c r="CN233" s="1320"/>
      <c r="CO233" s="1320"/>
      <c r="CP233" s="1320"/>
      <c r="CQ233" s="1320"/>
      <c r="CR233" s="1320"/>
      <c r="CS233" s="1320"/>
      <c r="CT233" s="1320"/>
      <c r="CU233" s="1320"/>
      <c r="CV233" s="1320"/>
      <c r="CW233" s="1320"/>
      <c r="CX233" s="1320"/>
      <c r="CY233" s="1320"/>
      <c r="CZ233" s="1320"/>
      <c r="DA233" s="1320"/>
      <c r="DB233" s="1320"/>
      <c r="DC233" s="1320"/>
      <c r="DD233" s="1320"/>
      <c r="DE233" s="1320"/>
      <c r="DF233" s="1320"/>
      <c r="DG233" s="1320"/>
      <c r="DH233" s="1320"/>
      <c r="DI233" s="1320"/>
      <c r="DJ233" s="1320"/>
      <c r="DK233" s="1320"/>
      <c r="DL233" s="1320"/>
      <c r="DM233" s="1320"/>
      <c r="DN233" s="1320"/>
      <c r="DO233" s="1320"/>
      <c r="DP233" s="1320"/>
      <c r="DQ233" s="1320"/>
      <c r="DR233" s="1320"/>
      <c r="DS233" s="1320"/>
      <c r="DT233" s="1320"/>
      <c r="DU233" s="1320"/>
    </row>
    <row r="234" spans="1:125" s="797" customFormat="1">
      <c r="A234" s="714" t="s">
        <v>641</v>
      </c>
      <c r="B234" s="898" t="s">
        <v>494</v>
      </c>
      <c r="C234" s="1421"/>
      <c r="D234" s="790" t="s">
        <v>18</v>
      </c>
      <c r="E234" s="975">
        <v>20</v>
      </c>
      <c r="F234" s="782">
        <v>20</v>
      </c>
      <c r="G234" s="782">
        <v>20</v>
      </c>
      <c r="H234" s="975">
        <v>40</v>
      </c>
      <c r="I234" s="782"/>
      <c r="J234" s="782">
        <v>40</v>
      </c>
      <c r="K234" s="782">
        <v>20</v>
      </c>
      <c r="L234" s="975">
        <v>20</v>
      </c>
      <c r="M234" s="782">
        <v>20</v>
      </c>
      <c r="N234" s="774">
        <f>SUM(E234:M234)</f>
        <v>200</v>
      </c>
      <c r="O234" s="940"/>
      <c r="P234" s="711">
        <f t="shared" si="23"/>
        <v>0</v>
      </c>
      <c r="Q234" s="1320"/>
      <c r="R234" s="1320"/>
      <c r="S234" s="1320"/>
      <c r="T234" s="1320"/>
      <c r="U234" s="1320"/>
      <c r="V234" s="1320"/>
      <c r="W234" s="1320"/>
      <c r="X234" s="1320"/>
      <c r="Y234" s="1320"/>
      <c r="Z234" s="1320"/>
      <c r="AA234" s="1320"/>
      <c r="AB234" s="1320"/>
      <c r="AC234" s="1320"/>
      <c r="AD234" s="1320"/>
      <c r="AE234" s="1320"/>
      <c r="AF234" s="1320"/>
      <c r="AG234" s="1320"/>
      <c r="AH234" s="1320"/>
      <c r="AI234" s="1320"/>
      <c r="AJ234" s="1320"/>
      <c r="AK234" s="1320"/>
      <c r="AL234" s="1320"/>
      <c r="AM234" s="1320"/>
      <c r="AN234" s="1320"/>
      <c r="AO234" s="1320"/>
      <c r="AP234" s="1320"/>
      <c r="AQ234" s="1320"/>
      <c r="AR234" s="1320"/>
      <c r="AS234" s="1320"/>
      <c r="AT234" s="1320"/>
      <c r="AU234" s="1320"/>
      <c r="AV234" s="1320"/>
      <c r="AW234" s="1320"/>
      <c r="AX234" s="1320"/>
      <c r="AY234" s="1320"/>
      <c r="AZ234" s="1320"/>
      <c r="BA234" s="1320"/>
      <c r="BB234" s="1320"/>
      <c r="BC234" s="1320"/>
      <c r="BD234" s="1320"/>
      <c r="BE234" s="1320"/>
      <c r="BF234" s="1320"/>
      <c r="BG234" s="1320"/>
      <c r="BH234" s="1320"/>
      <c r="BI234" s="1320"/>
      <c r="BJ234" s="1320"/>
      <c r="BK234" s="1320"/>
      <c r="BL234" s="1320"/>
      <c r="BM234" s="1320"/>
      <c r="BN234" s="1320"/>
      <c r="BO234" s="1320"/>
      <c r="BP234" s="1320"/>
      <c r="BQ234" s="1320"/>
      <c r="BR234" s="1320"/>
      <c r="BS234" s="1320"/>
      <c r="BT234" s="1320"/>
      <c r="BU234" s="1320"/>
      <c r="BV234" s="1320"/>
      <c r="BW234" s="1320"/>
      <c r="BX234" s="1320"/>
      <c r="BY234" s="1320"/>
      <c r="BZ234" s="1320"/>
      <c r="CA234" s="1320"/>
      <c r="CB234" s="1320"/>
      <c r="CC234" s="1320"/>
      <c r="CD234" s="1320"/>
      <c r="CE234" s="1320"/>
      <c r="CF234" s="1320"/>
      <c r="CG234" s="1320"/>
      <c r="CH234" s="1320"/>
      <c r="CI234" s="1320"/>
      <c r="CJ234" s="1320"/>
      <c r="CK234" s="1320"/>
      <c r="CL234" s="1320"/>
      <c r="CM234" s="1320"/>
      <c r="CN234" s="1320"/>
      <c r="CO234" s="1320"/>
      <c r="CP234" s="1320"/>
      <c r="CQ234" s="1320"/>
      <c r="CR234" s="1320"/>
      <c r="CS234" s="1320"/>
      <c r="CT234" s="1320"/>
      <c r="CU234" s="1320"/>
      <c r="CV234" s="1320"/>
      <c r="CW234" s="1320"/>
      <c r="CX234" s="1320"/>
      <c r="CY234" s="1320"/>
      <c r="CZ234" s="1320"/>
      <c r="DA234" s="1320"/>
      <c r="DB234" s="1320"/>
      <c r="DC234" s="1320"/>
      <c r="DD234" s="1320"/>
      <c r="DE234" s="1320"/>
      <c r="DF234" s="1320"/>
      <c r="DG234" s="1320"/>
      <c r="DH234" s="1320"/>
      <c r="DI234" s="1320"/>
      <c r="DJ234" s="1320"/>
      <c r="DK234" s="1320"/>
      <c r="DL234" s="1320"/>
      <c r="DM234" s="1320"/>
      <c r="DN234" s="1320"/>
      <c r="DO234" s="1320"/>
      <c r="DP234" s="1320"/>
      <c r="DQ234" s="1320"/>
      <c r="DR234" s="1320"/>
      <c r="DS234" s="1320"/>
      <c r="DT234" s="1320"/>
      <c r="DU234" s="1320"/>
    </row>
    <row r="235" spans="1:125" s="797" customFormat="1">
      <c r="A235" s="717" t="s">
        <v>807</v>
      </c>
      <c r="B235" s="1063" t="s">
        <v>633</v>
      </c>
      <c r="C235" s="1420" t="s">
        <v>2550</v>
      </c>
      <c r="D235" s="740"/>
      <c r="E235" s="975"/>
      <c r="F235" s="973"/>
      <c r="G235" s="782"/>
      <c r="H235" s="975"/>
      <c r="I235" s="782"/>
      <c r="J235" s="782"/>
      <c r="K235" s="973"/>
      <c r="L235" s="975"/>
      <c r="M235" s="782"/>
      <c r="N235" s="774"/>
      <c r="O235" s="939"/>
      <c r="P235" s="711"/>
      <c r="Q235" s="1320"/>
      <c r="R235" s="1320"/>
      <c r="S235" s="1320"/>
      <c r="T235" s="1320"/>
      <c r="U235" s="1320"/>
      <c r="V235" s="1320"/>
      <c r="W235" s="1320"/>
      <c r="X235" s="1320"/>
      <c r="Y235" s="1320"/>
      <c r="Z235" s="1320"/>
      <c r="AA235" s="1320"/>
      <c r="AB235" s="1320"/>
      <c r="AC235" s="1320"/>
      <c r="AD235" s="1320"/>
      <c r="AE235" s="1320"/>
      <c r="AF235" s="1320"/>
      <c r="AG235" s="1320"/>
      <c r="AH235" s="1320"/>
      <c r="AI235" s="1320"/>
      <c r="AJ235" s="1320"/>
      <c r="AK235" s="1320"/>
      <c r="AL235" s="1320"/>
      <c r="AM235" s="1320"/>
      <c r="AN235" s="1320"/>
      <c r="AO235" s="1320"/>
      <c r="AP235" s="1320"/>
      <c r="AQ235" s="1320"/>
      <c r="AR235" s="1320"/>
      <c r="AS235" s="1320"/>
      <c r="AT235" s="1320"/>
      <c r="AU235" s="1320"/>
      <c r="AV235" s="1320"/>
      <c r="AW235" s="1320"/>
      <c r="AX235" s="1320"/>
      <c r="AY235" s="1320"/>
      <c r="AZ235" s="1320"/>
      <c r="BA235" s="1320"/>
      <c r="BB235" s="1320"/>
      <c r="BC235" s="1320"/>
      <c r="BD235" s="1320"/>
      <c r="BE235" s="1320"/>
      <c r="BF235" s="1320"/>
      <c r="BG235" s="1320"/>
      <c r="BH235" s="1320"/>
      <c r="BI235" s="1320"/>
      <c r="BJ235" s="1320"/>
      <c r="BK235" s="1320"/>
      <c r="BL235" s="1320"/>
      <c r="BM235" s="1320"/>
      <c r="BN235" s="1320"/>
      <c r="BO235" s="1320"/>
      <c r="BP235" s="1320"/>
      <c r="BQ235" s="1320"/>
      <c r="BR235" s="1320"/>
      <c r="BS235" s="1320"/>
      <c r="BT235" s="1320"/>
      <c r="BU235" s="1320"/>
      <c r="BV235" s="1320"/>
      <c r="BW235" s="1320"/>
      <c r="BX235" s="1320"/>
      <c r="BY235" s="1320"/>
      <c r="BZ235" s="1320"/>
      <c r="CA235" s="1320"/>
      <c r="CB235" s="1320"/>
      <c r="CC235" s="1320"/>
      <c r="CD235" s="1320"/>
      <c r="CE235" s="1320"/>
      <c r="CF235" s="1320"/>
      <c r="CG235" s="1320"/>
      <c r="CH235" s="1320"/>
      <c r="CI235" s="1320"/>
      <c r="CJ235" s="1320"/>
      <c r="CK235" s="1320"/>
      <c r="CL235" s="1320"/>
      <c r="CM235" s="1320"/>
      <c r="CN235" s="1320"/>
      <c r="CO235" s="1320"/>
      <c r="CP235" s="1320"/>
      <c r="CQ235" s="1320"/>
      <c r="CR235" s="1320"/>
      <c r="CS235" s="1320"/>
      <c r="CT235" s="1320"/>
      <c r="CU235" s="1320"/>
      <c r="CV235" s="1320"/>
      <c r="CW235" s="1320"/>
      <c r="CX235" s="1320"/>
      <c r="CY235" s="1320"/>
      <c r="CZ235" s="1320"/>
      <c r="DA235" s="1320"/>
      <c r="DB235" s="1320"/>
      <c r="DC235" s="1320"/>
      <c r="DD235" s="1320"/>
      <c r="DE235" s="1320"/>
      <c r="DF235" s="1320"/>
      <c r="DG235" s="1320"/>
      <c r="DH235" s="1320"/>
      <c r="DI235" s="1320"/>
      <c r="DJ235" s="1320"/>
      <c r="DK235" s="1320"/>
      <c r="DL235" s="1320"/>
      <c r="DM235" s="1320"/>
      <c r="DN235" s="1320"/>
      <c r="DO235" s="1320"/>
      <c r="DP235" s="1320"/>
      <c r="DQ235" s="1320"/>
      <c r="DR235" s="1320"/>
      <c r="DS235" s="1320"/>
      <c r="DT235" s="1320"/>
      <c r="DU235" s="1320"/>
    </row>
    <row r="236" spans="1:125" s="797" customFormat="1">
      <c r="A236" s="714" t="s">
        <v>642</v>
      </c>
      <c r="B236" s="898" t="s">
        <v>634</v>
      </c>
      <c r="C236" s="1421"/>
      <c r="D236" s="790" t="s">
        <v>11</v>
      </c>
      <c r="E236" s="975"/>
      <c r="F236" s="973"/>
      <c r="G236" s="782"/>
      <c r="H236" s="975"/>
      <c r="I236" s="782"/>
      <c r="J236" s="782"/>
      <c r="K236" s="973"/>
      <c r="L236" s="975"/>
      <c r="M236" s="782">
        <v>129</v>
      </c>
      <c r="N236" s="774">
        <f>SUM(E236:M236)</f>
        <v>129</v>
      </c>
      <c r="O236" s="940"/>
      <c r="P236" s="711">
        <f t="shared" si="23"/>
        <v>0</v>
      </c>
      <c r="Q236" s="1320"/>
      <c r="R236" s="1320"/>
      <c r="S236" s="1320"/>
      <c r="T236" s="1320"/>
      <c r="U236" s="1320"/>
      <c r="V236" s="1320"/>
      <c r="W236" s="1320"/>
      <c r="X236" s="1320"/>
      <c r="Y236" s="1320"/>
      <c r="Z236" s="1320"/>
      <c r="AA236" s="1320"/>
      <c r="AB236" s="1320"/>
      <c r="AC236" s="1320"/>
      <c r="AD236" s="1320"/>
      <c r="AE236" s="1320"/>
      <c r="AF236" s="1320"/>
      <c r="AG236" s="1320"/>
      <c r="AH236" s="1320"/>
      <c r="AI236" s="1320"/>
      <c r="AJ236" s="1320"/>
      <c r="AK236" s="1320"/>
      <c r="AL236" s="1320"/>
      <c r="AM236" s="1320"/>
      <c r="AN236" s="1320"/>
      <c r="AO236" s="1320"/>
      <c r="AP236" s="1320"/>
      <c r="AQ236" s="1320"/>
      <c r="AR236" s="1320"/>
      <c r="AS236" s="1320"/>
      <c r="AT236" s="1320"/>
      <c r="AU236" s="1320"/>
      <c r="AV236" s="1320"/>
      <c r="AW236" s="1320"/>
      <c r="AX236" s="1320"/>
      <c r="AY236" s="1320"/>
      <c r="AZ236" s="1320"/>
      <c r="BA236" s="1320"/>
      <c r="BB236" s="1320"/>
      <c r="BC236" s="1320"/>
      <c r="BD236" s="1320"/>
      <c r="BE236" s="1320"/>
      <c r="BF236" s="1320"/>
      <c r="BG236" s="1320"/>
      <c r="BH236" s="1320"/>
      <c r="BI236" s="1320"/>
      <c r="BJ236" s="1320"/>
      <c r="BK236" s="1320"/>
      <c r="BL236" s="1320"/>
      <c r="BM236" s="1320"/>
      <c r="BN236" s="1320"/>
      <c r="BO236" s="1320"/>
      <c r="BP236" s="1320"/>
      <c r="BQ236" s="1320"/>
      <c r="BR236" s="1320"/>
      <c r="BS236" s="1320"/>
      <c r="BT236" s="1320"/>
      <c r="BU236" s="1320"/>
      <c r="BV236" s="1320"/>
      <c r="BW236" s="1320"/>
      <c r="BX236" s="1320"/>
      <c r="BY236" s="1320"/>
      <c r="BZ236" s="1320"/>
      <c r="CA236" s="1320"/>
      <c r="CB236" s="1320"/>
      <c r="CC236" s="1320"/>
      <c r="CD236" s="1320"/>
      <c r="CE236" s="1320"/>
      <c r="CF236" s="1320"/>
      <c r="CG236" s="1320"/>
      <c r="CH236" s="1320"/>
      <c r="CI236" s="1320"/>
      <c r="CJ236" s="1320"/>
      <c r="CK236" s="1320"/>
      <c r="CL236" s="1320"/>
      <c r="CM236" s="1320"/>
      <c r="CN236" s="1320"/>
      <c r="CO236" s="1320"/>
      <c r="CP236" s="1320"/>
      <c r="CQ236" s="1320"/>
      <c r="CR236" s="1320"/>
      <c r="CS236" s="1320"/>
      <c r="CT236" s="1320"/>
      <c r="CU236" s="1320"/>
      <c r="CV236" s="1320"/>
      <c r="CW236" s="1320"/>
      <c r="CX236" s="1320"/>
      <c r="CY236" s="1320"/>
      <c r="CZ236" s="1320"/>
      <c r="DA236" s="1320"/>
      <c r="DB236" s="1320"/>
      <c r="DC236" s="1320"/>
      <c r="DD236" s="1320"/>
      <c r="DE236" s="1320"/>
      <c r="DF236" s="1320"/>
      <c r="DG236" s="1320"/>
      <c r="DH236" s="1320"/>
      <c r="DI236" s="1320"/>
      <c r="DJ236" s="1320"/>
      <c r="DK236" s="1320"/>
      <c r="DL236" s="1320"/>
      <c r="DM236" s="1320"/>
      <c r="DN236" s="1320"/>
      <c r="DO236" s="1320"/>
      <c r="DP236" s="1320"/>
      <c r="DQ236" s="1320"/>
      <c r="DR236" s="1320"/>
      <c r="DS236" s="1320"/>
      <c r="DT236" s="1320"/>
      <c r="DU236" s="1320"/>
    </row>
    <row r="237" spans="1:125" s="797" customFormat="1">
      <c r="A237" s="714" t="s">
        <v>643</v>
      </c>
      <c r="B237" s="898" t="s">
        <v>635</v>
      </c>
      <c r="C237" s="1421"/>
      <c r="D237" s="790" t="s">
        <v>11</v>
      </c>
      <c r="E237" s="975"/>
      <c r="F237" s="973"/>
      <c r="G237" s="782"/>
      <c r="H237" s="975">
        <v>72</v>
      </c>
      <c r="I237" s="782"/>
      <c r="J237" s="782"/>
      <c r="K237" s="973"/>
      <c r="L237" s="975"/>
      <c r="M237" s="782">
        <v>113</v>
      </c>
      <c r="N237" s="774">
        <f>SUM(E237:M237)</f>
        <v>185</v>
      </c>
      <c r="O237" s="940"/>
      <c r="P237" s="711">
        <f t="shared" si="23"/>
        <v>0</v>
      </c>
      <c r="Q237" s="1320"/>
      <c r="R237" s="1320"/>
      <c r="S237" s="1320"/>
      <c r="T237" s="1320"/>
      <c r="U237" s="1320"/>
      <c r="V237" s="1320"/>
      <c r="W237" s="1320"/>
      <c r="X237" s="1320"/>
      <c r="Y237" s="1320"/>
      <c r="Z237" s="1320"/>
      <c r="AA237" s="1320"/>
      <c r="AB237" s="1320"/>
      <c r="AC237" s="1320"/>
      <c r="AD237" s="1320"/>
      <c r="AE237" s="1320"/>
      <c r="AF237" s="1320"/>
      <c r="AG237" s="1320"/>
      <c r="AH237" s="1320"/>
      <c r="AI237" s="1320"/>
      <c r="AJ237" s="1320"/>
      <c r="AK237" s="1320"/>
      <c r="AL237" s="1320"/>
      <c r="AM237" s="1320"/>
      <c r="AN237" s="1320"/>
      <c r="AO237" s="1320"/>
      <c r="AP237" s="1320"/>
      <c r="AQ237" s="1320"/>
      <c r="AR237" s="1320"/>
      <c r="AS237" s="1320"/>
      <c r="AT237" s="1320"/>
      <c r="AU237" s="1320"/>
      <c r="AV237" s="1320"/>
      <c r="AW237" s="1320"/>
      <c r="AX237" s="1320"/>
      <c r="AY237" s="1320"/>
      <c r="AZ237" s="1320"/>
      <c r="BA237" s="1320"/>
      <c r="BB237" s="1320"/>
      <c r="BC237" s="1320"/>
      <c r="BD237" s="1320"/>
      <c r="BE237" s="1320"/>
      <c r="BF237" s="1320"/>
      <c r="BG237" s="1320"/>
      <c r="BH237" s="1320"/>
      <c r="BI237" s="1320"/>
      <c r="BJ237" s="1320"/>
      <c r="BK237" s="1320"/>
      <c r="BL237" s="1320"/>
      <c r="BM237" s="1320"/>
      <c r="BN237" s="1320"/>
      <c r="BO237" s="1320"/>
      <c r="BP237" s="1320"/>
      <c r="BQ237" s="1320"/>
      <c r="BR237" s="1320"/>
      <c r="BS237" s="1320"/>
      <c r="BT237" s="1320"/>
      <c r="BU237" s="1320"/>
      <c r="BV237" s="1320"/>
      <c r="BW237" s="1320"/>
      <c r="BX237" s="1320"/>
      <c r="BY237" s="1320"/>
      <c r="BZ237" s="1320"/>
      <c r="CA237" s="1320"/>
      <c r="CB237" s="1320"/>
      <c r="CC237" s="1320"/>
      <c r="CD237" s="1320"/>
      <c r="CE237" s="1320"/>
      <c r="CF237" s="1320"/>
      <c r="CG237" s="1320"/>
      <c r="CH237" s="1320"/>
      <c r="CI237" s="1320"/>
      <c r="CJ237" s="1320"/>
      <c r="CK237" s="1320"/>
      <c r="CL237" s="1320"/>
      <c r="CM237" s="1320"/>
      <c r="CN237" s="1320"/>
      <c r="CO237" s="1320"/>
      <c r="CP237" s="1320"/>
      <c r="CQ237" s="1320"/>
      <c r="CR237" s="1320"/>
      <c r="CS237" s="1320"/>
      <c r="CT237" s="1320"/>
      <c r="CU237" s="1320"/>
      <c r="CV237" s="1320"/>
      <c r="CW237" s="1320"/>
      <c r="CX237" s="1320"/>
      <c r="CY237" s="1320"/>
      <c r="CZ237" s="1320"/>
      <c r="DA237" s="1320"/>
      <c r="DB237" s="1320"/>
      <c r="DC237" s="1320"/>
      <c r="DD237" s="1320"/>
      <c r="DE237" s="1320"/>
      <c r="DF237" s="1320"/>
      <c r="DG237" s="1320"/>
      <c r="DH237" s="1320"/>
      <c r="DI237" s="1320"/>
      <c r="DJ237" s="1320"/>
      <c r="DK237" s="1320"/>
      <c r="DL237" s="1320"/>
      <c r="DM237" s="1320"/>
      <c r="DN237" s="1320"/>
      <c r="DO237" s="1320"/>
      <c r="DP237" s="1320"/>
      <c r="DQ237" s="1320"/>
      <c r="DR237" s="1320"/>
      <c r="DS237" s="1320"/>
      <c r="DT237" s="1320"/>
      <c r="DU237" s="1320"/>
    </row>
    <row r="238" spans="1:125" s="797" customFormat="1">
      <c r="A238" s="714" t="s">
        <v>644</v>
      </c>
      <c r="B238" s="898" t="s">
        <v>636</v>
      </c>
      <c r="C238" s="1421"/>
      <c r="D238" s="790" t="s">
        <v>11</v>
      </c>
      <c r="E238" s="975"/>
      <c r="F238" s="973"/>
      <c r="G238" s="782"/>
      <c r="H238" s="975"/>
      <c r="I238" s="782"/>
      <c r="J238" s="782"/>
      <c r="K238" s="973"/>
      <c r="L238" s="975"/>
      <c r="M238" s="782">
        <v>73</v>
      </c>
      <c r="N238" s="774">
        <f>SUM(E238:M238)</f>
        <v>73</v>
      </c>
      <c r="O238" s="940"/>
      <c r="P238" s="711">
        <f t="shared" si="23"/>
        <v>0</v>
      </c>
      <c r="Q238" s="1320"/>
      <c r="R238" s="1320"/>
      <c r="S238" s="1320"/>
      <c r="T238" s="1320"/>
      <c r="U238" s="1320"/>
      <c r="V238" s="1320"/>
      <c r="W238" s="1320"/>
      <c r="X238" s="1320"/>
      <c r="Y238" s="1320"/>
      <c r="Z238" s="1320"/>
      <c r="AA238" s="1320"/>
      <c r="AB238" s="1320"/>
      <c r="AC238" s="1320"/>
      <c r="AD238" s="1320"/>
      <c r="AE238" s="1320"/>
      <c r="AF238" s="1320"/>
      <c r="AG238" s="1320"/>
      <c r="AH238" s="1320"/>
      <c r="AI238" s="1320"/>
      <c r="AJ238" s="1320"/>
      <c r="AK238" s="1320"/>
      <c r="AL238" s="1320"/>
      <c r="AM238" s="1320"/>
      <c r="AN238" s="1320"/>
      <c r="AO238" s="1320"/>
      <c r="AP238" s="1320"/>
      <c r="AQ238" s="1320"/>
      <c r="AR238" s="1320"/>
      <c r="AS238" s="1320"/>
      <c r="AT238" s="1320"/>
      <c r="AU238" s="1320"/>
      <c r="AV238" s="1320"/>
      <c r="AW238" s="1320"/>
      <c r="AX238" s="1320"/>
      <c r="AY238" s="1320"/>
      <c r="AZ238" s="1320"/>
      <c r="BA238" s="1320"/>
      <c r="BB238" s="1320"/>
      <c r="BC238" s="1320"/>
      <c r="BD238" s="1320"/>
      <c r="BE238" s="1320"/>
      <c r="BF238" s="1320"/>
      <c r="BG238" s="1320"/>
      <c r="BH238" s="1320"/>
      <c r="BI238" s="1320"/>
      <c r="BJ238" s="1320"/>
      <c r="BK238" s="1320"/>
      <c r="BL238" s="1320"/>
      <c r="BM238" s="1320"/>
      <c r="BN238" s="1320"/>
      <c r="BO238" s="1320"/>
      <c r="BP238" s="1320"/>
      <c r="BQ238" s="1320"/>
      <c r="BR238" s="1320"/>
      <c r="BS238" s="1320"/>
      <c r="BT238" s="1320"/>
      <c r="BU238" s="1320"/>
      <c r="BV238" s="1320"/>
      <c r="BW238" s="1320"/>
      <c r="BX238" s="1320"/>
      <c r="BY238" s="1320"/>
      <c r="BZ238" s="1320"/>
      <c r="CA238" s="1320"/>
      <c r="CB238" s="1320"/>
      <c r="CC238" s="1320"/>
      <c r="CD238" s="1320"/>
      <c r="CE238" s="1320"/>
      <c r="CF238" s="1320"/>
      <c r="CG238" s="1320"/>
      <c r="CH238" s="1320"/>
      <c r="CI238" s="1320"/>
      <c r="CJ238" s="1320"/>
      <c r="CK238" s="1320"/>
      <c r="CL238" s="1320"/>
      <c r="CM238" s="1320"/>
      <c r="CN238" s="1320"/>
      <c r="CO238" s="1320"/>
      <c r="CP238" s="1320"/>
      <c r="CQ238" s="1320"/>
      <c r="CR238" s="1320"/>
      <c r="CS238" s="1320"/>
      <c r="CT238" s="1320"/>
      <c r="CU238" s="1320"/>
      <c r="CV238" s="1320"/>
      <c r="CW238" s="1320"/>
      <c r="CX238" s="1320"/>
      <c r="CY238" s="1320"/>
      <c r="CZ238" s="1320"/>
      <c r="DA238" s="1320"/>
      <c r="DB238" s="1320"/>
      <c r="DC238" s="1320"/>
      <c r="DD238" s="1320"/>
      <c r="DE238" s="1320"/>
      <c r="DF238" s="1320"/>
      <c r="DG238" s="1320"/>
      <c r="DH238" s="1320"/>
      <c r="DI238" s="1320"/>
      <c r="DJ238" s="1320"/>
      <c r="DK238" s="1320"/>
      <c r="DL238" s="1320"/>
      <c r="DM238" s="1320"/>
      <c r="DN238" s="1320"/>
      <c r="DO238" s="1320"/>
      <c r="DP238" s="1320"/>
      <c r="DQ238" s="1320"/>
      <c r="DR238" s="1320"/>
      <c r="DS238" s="1320"/>
      <c r="DT238" s="1320"/>
      <c r="DU238" s="1320"/>
    </row>
    <row r="239" spans="1:125" s="797" customFormat="1">
      <c r="A239" s="714" t="s">
        <v>645</v>
      </c>
      <c r="B239" s="1384" t="s">
        <v>637</v>
      </c>
      <c r="C239" s="1421"/>
      <c r="D239" s="790" t="s">
        <v>11</v>
      </c>
      <c r="E239" s="975"/>
      <c r="F239" s="973"/>
      <c r="G239" s="782"/>
      <c r="H239" s="975"/>
      <c r="I239" s="782"/>
      <c r="J239" s="782"/>
      <c r="K239" s="973"/>
      <c r="L239" s="975"/>
      <c r="M239" s="782">
        <v>40</v>
      </c>
      <c r="N239" s="774">
        <f>SUM(E239:M239)</f>
        <v>40</v>
      </c>
      <c r="O239" s="940"/>
      <c r="P239" s="711">
        <f t="shared" si="23"/>
        <v>0</v>
      </c>
      <c r="Q239" s="1320"/>
      <c r="R239" s="1320"/>
      <c r="S239" s="1320"/>
      <c r="T239" s="1320"/>
      <c r="U239" s="1320"/>
      <c r="V239" s="1320"/>
      <c r="W239" s="1320"/>
      <c r="X239" s="1320"/>
      <c r="Y239" s="1320"/>
      <c r="Z239" s="1320"/>
      <c r="AA239" s="1320"/>
      <c r="AB239" s="1320"/>
      <c r="AC239" s="1320"/>
      <c r="AD239" s="1320"/>
      <c r="AE239" s="1320"/>
      <c r="AF239" s="1320"/>
      <c r="AG239" s="1320"/>
      <c r="AH239" s="1320"/>
      <c r="AI239" s="1320"/>
      <c r="AJ239" s="1320"/>
      <c r="AK239" s="1320"/>
      <c r="AL239" s="1320"/>
      <c r="AM239" s="1320"/>
      <c r="AN239" s="1320"/>
      <c r="AO239" s="1320"/>
      <c r="AP239" s="1320"/>
      <c r="AQ239" s="1320"/>
      <c r="AR239" s="1320"/>
      <c r="AS239" s="1320"/>
      <c r="AT239" s="1320"/>
      <c r="AU239" s="1320"/>
      <c r="AV239" s="1320"/>
      <c r="AW239" s="1320"/>
      <c r="AX239" s="1320"/>
      <c r="AY239" s="1320"/>
      <c r="AZ239" s="1320"/>
      <c r="BA239" s="1320"/>
      <c r="BB239" s="1320"/>
      <c r="BC239" s="1320"/>
      <c r="BD239" s="1320"/>
      <c r="BE239" s="1320"/>
      <c r="BF239" s="1320"/>
      <c r="BG239" s="1320"/>
      <c r="BH239" s="1320"/>
      <c r="BI239" s="1320"/>
      <c r="BJ239" s="1320"/>
      <c r="BK239" s="1320"/>
      <c r="BL239" s="1320"/>
      <c r="BM239" s="1320"/>
      <c r="BN239" s="1320"/>
      <c r="BO239" s="1320"/>
      <c r="BP239" s="1320"/>
      <c r="BQ239" s="1320"/>
      <c r="BR239" s="1320"/>
      <c r="BS239" s="1320"/>
      <c r="BT239" s="1320"/>
      <c r="BU239" s="1320"/>
      <c r="BV239" s="1320"/>
      <c r="BW239" s="1320"/>
      <c r="BX239" s="1320"/>
      <c r="BY239" s="1320"/>
      <c r="BZ239" s="1320"/>
      <c r="CA239" s="1320"/>
      <c r="CB239" s="1320"/>
      <c r="CC239" s="1320"/>
      <c r="CD239" s="1320"/>
      <c r="CE239" s="1320"/>
      <c r="CF239" s="1320"/>
      <c r="CG239" s="1320"/>
      <c r="CH239" s="1320"/>
      <c r="CI239" s="1320"/>
      <c r="CJ239" s="1320"/>
      <c r="CK239" s="1320"/>
      <c r="CL239" s="1320"/>
      <c r="CM239" s="1320"/>
      <c r="CN239" s="1320"/>
      <c r="CO239" s="1320"/>
      <c r="CP239" s="1320"/>
      <c r="CQ239" s="1320"/>
      <c r="CR239" s="1320"/>
      <c r="CS239" s="1320"/>
      <c r="CT239" s="1320"/>
      <c r="CU239" s="1320"/>
      <c r="CV239" s="1320"/>
      <c r="CW239" s="1320"/>
      <c r="CX239" s="1320"/>
      <c r="CY239" s="1320"/>
      <c r="CZ239" s="1320"/>
      <c r="DA239" s="1320"/>
      <c r="DB239" s="1320"/>
      <c r="DC239" s="1320"/>
      <c r="DD239" s="1320"/>
      <c r="DE239" s="1320"/>
      <c r="DF239" s="1320"/>
      <c r="DG239" s="1320"/>
      <c r="DH239" s="1320"/>
      <c r="DI239" s="1320"/>
      <c r="DJ239" s="1320"/>
      <c r="DK239" s="1320"/>
      <c r="DL239" s="1320"/>
      <c r="DM239" s="1320"/>
      <c r="DN239" s="1320"/>
      <c r="DO239" s="1320"/>
      <c r="DP239" s="1320"/>
      <c r="DQ239" s="1320"/>
      <c r="DR239" s="1320"/>
      <c r="DS239" s="1320"/>
      <c r="DT239" s="1320"/>
      <c r="DU239" s="1320"/>
    </row>
    <row r="240" spans="1:125" s="797" customFormat="1">
      <c r="A240" s="714" t="s">
        <v>646</v>
      </c>
      <c r="B240" s="898" t="s">
        <v>638</v>
      </c>
      <c r="C240" s="1421"/>
      <c r="D240" s="790" t="s">
        <v>11</v>
      </c>
      <c r="E240" s="975"/>
      <c r="F240" s="973"/>
      <c r="G240" s="782"/>
      <c r="H240" s="975">
        <v>72</v>
      </c>
      <c r="I240" s="782"/>
      <c r="J240" s="782"/>
      <c r="K240" s="973"/>
      <c r="L240" s="975"/>
      <c r="M240" s="782">
        <v>38</v>
      </c>
      <c r="N240" s="774">
        <f>SUM(E240:M240)</f>
        <v>110</v>
      </c>
      <c r="O240" s="940"/>
      <c r="P240" s="711">
        <f t="shared" si="23"/>
        <v>0</v>
      </c>
      <c r="Q240" s="1320"/>
      <c r="R240" s="1320"/>
      <c r="S240" s="1320"/>
      <c r="T240" s="1320"/>
      <c r="U240" s="1320"/>
      <c r="V240" s="1320"/>
      <c r="W240" s="1320"/>
      <c r="X240" s="1320"/>
      <c r="Y240" s="1320"/>
      <c r="Z240" s="1320"/>
      <c r="AA240" s="1320"/>
      <c r="AB240" s="1320"/>
      <c r="AC240" s="1320"/>
      <c r="AD240" s="1320"/>
      <c r="AE240" s="1320"/>
      <c r="AF240" s="1320"/>
      <c r="AG240" s="1320"/>
      <c r="AH240" s="1320"/>
      <c r="AI240" s="1320"/>
      <c r="AJ240" s="1320"/>
      <c r="AK240" s="1320"/>
      <c r="AL240" s="1320"/>
      <c r="AM240" s="1320"/>
      <c r="AN240" s="1320"/>
      <c r="AO240" s="1320"/>
      <c r="AP240" s="1320"/>
      <c r="AQ240" s="1320"/>
      <c r="AR240" s="1320"/>
      <c r="AS240" s="1320"/>
      <c r="AT240" s="1320"/>
      <c r="AU240" s="1320"/>
      <c r="AV240" s="1320"/>
      <c r="AW240" s="1320"/>
      <c r="AX240" s="1320"/>
      <c r="AY240" s="1320"/>
      <c r="AZ240" s="1320"/>
      <c r="BA240" s="1320"/>
      <c r="BB240" s="1320"/>
      <c r="BC240" s="1320"/>
      <c r="BD240" s="1320"/>
      <c r="BE240" s="1320"/>
      <c r="BF240" s="1320"/>
      <c r="BG240" s="1320"/>
      <c r="BH240" s="1320"/>
      <c r="BI240" s="1320"/>
      <c r="BJ240" s="1320"/>
      <c r="BK240" s="1320"/>
      <c r="BL240" s="1320"/>
      <c r="BM240" s="1320"/>
      <c r="BN240" s="1320"/>
      <c r="BO240" s="1320"/>
      <c r="BP240" s="1320"/>
      <c r="BQ240" s="1320"/>
      <c r="BR240" s="1320"/>
      <c r="BS240" s="1320"/>
      <c r="BT240" s="1320"/>
      <c r="BU240" s="1320"/>
      <c r="BV240" s="1320"/>
      <c r="BW240" s="1320"/>
      <c r="BX240" s="1320"/>
      <c r="BY240" s="1320"/>
      <c r="BZ240" s="1320"/>
      <c r="CA240" s="1320"/>
      <c r="CB240" s="1320"/>
      <c r="CC240" s="1320"/>
      <c r="CD240" s="1320"/>
      <c r="CE240" s="1320"/>
      <c r="CF240" s="1320"/>
      <c r="CG240" s="1320"/>
      <c r="CH240" s="1320"/>
      <c r="CI240" s="1320"/>
      <c r="CJ240" s="1320"/>
      <c r="CK240" s="1320"/>
      <c r="CL240" s="1320"/>
      <c r="CM240" s="1320"/>
      <c r="CN240" s="1320"/>
      <c r="CO240" s="1320"/>
      <c r="CP240" s="1320"/>
      <c r="CQ240" s="1320"/>
      <c r="CR240" s="1320"/>
      <c r="CS240" s="1320"/>
      <c r="CT240" s="1320"/>
      <c r="CU240" s="1320"/>
      <c r="CV240" s="1320"/>
      <c r="CW240" s="1320"/>
      <c r="CX240" s="1320"/>
      <c r="CY240" s="1320"/>
      <c r="CZ240" s="1320"/>
      <c r="DA240" s="1320"/>
      <c r="DB240" s="1320"/>
      <c r="DC240" s="1320"/>
      <c r="DD240" s="1320"/>
      <c r="DE240" s="1320"/>
      <c r="DF240" s="1320"/>
      <c r="DG240" s="1320"/>
      <c r="DH240" s="1320"/>
      <c r="DI240" s="1320"/>
      <c r="DJ240" s="1320"/>
      <c r="DK240" s="1320"/>
      <c r="DL240" s="1320"/>
      <c r="DM240" s="1320"/>
      <c r="DN240" s="1320"/>
      <c r="DO240" s="1320"/>
      <c r="DP240" s="1320"/>
      <c r="DQ240" s="1320"/>
      <c r="DR240" s="1320"/>
      <c r="DS240" s="1320"/>
      <c r="DT240" s="1320"/>
      <c r="DU240" s="1320"/>
    </row>
    <row r="241" spans="1:125" s="592" customFormat="1" ht="16.5" customHeight="1">
      <c r="A241" s="717" t="s">
        <v>809</v>
      </c>
      <c r="B241" s="1062" t="s">
        <v>826</v>
      </c>
      <c r="C241" s="1420" t="s">
        <v>384</v>
      </c>
      <c r="D241" s="740"/>
      <c r="E241" s="973"/>
      <c r="F241" s="973"/>
      <c r="G241" s="973"/>
      <c r="H241" s="782"/>
      <c r="I241" s="782"/>
      <c r="J241" s="782"/>
      <c r="K241" s="782"/>
      <c r="L241" s="782"/>
      <c r="M241" s="782"/>
      <c r="N241" s="774"/>
      <c r="O241" s="775"/>
      <c r="P241" s="711"/>
      <c r="Q241" s="1320"/>
      <c r="R241" s="1320"/>
      <c r="S241" s="1320"/>
      <c r="T241" s="1320"/>
      <c r="U241" s="1320"/>
      <c r="V241" s="1320"/>
      <c r="W241" s="1320"/>
      <c r="X241" s="1320"/>
      <c r="Y241" s="1320"/>
      <c r="Z241" s="1320"/>
      <c r="AA241" s="1320"/>
      <c r="AB241" s="1320"/>
      <c r="AC241" s="1320"/>
      <c r="AD241" s="1320"/>
      <c r="AE241" s="1320"/>
      <c r="AF241" s="1320"/>
      <c r="AG241" s="1320"/>
      <c r="AH241" s="1320"/>
      <c r="AI241" s="1320"/>
      <c r="AJ241" s="1320"/>
      <c r="AK241" s="1320"/>
      <c r="AL241" s="1320"/>
      <c r="AM241" s="1320"/>
      <c r="AN241" s="1320"/>
      <c r="AO241" s="1320"/>
      <c r="AP241" s="1320"/>
      <c r="AQ241" s="1320"/>
      <c r="AR241" s="1320"/>
      <c r="AS241" s="1320"/>
      <c r="AT241" s="1320"/>
      <c r="AU241" s="1320"/>
      <c r="AV241" s="1320"/>
      <c r="AW241" s="1320"/>
      <c r="AX241" s="1320"/>
      <c r="AY241" s="1320"/>
      <c r="AZ241" s="1320"/>
      <c r="BA241" s="1320"/>
      <c r="BB241" s="1320"/>
      <c r="BC241" s="1320"/>
      <c r="BD241" s="1320"/>
      <c r="BE241" s="1320"/>
      <c r="BF241" s="1320"/>
      <c r="BG241" s="1320"/>
      <c r="BH241" s="1320"/>
      <c r="BI241" s="1320"/>
      <c r="BJ241" s="1320"/>
      <c r="BK241" s="1320"/>
      <c r="BL241" s="1320"/>
      <c r="BM241" s="1320"/>
      <c r="BN241" s="1320"/>
      <c r="BO241" s="1320"/>
      <c r="BP241" s="1320"/>
      <c r="BQ241" s="1320"/>
      <c r="BR241" s="1320"/>
      <c r="BS241" s="1320"/>
      <c r="BT241" s="1320"/>
      <c r="BU241" s="1320"/>
      <c r="BV241" s="1320"/>
      <c r="BW241" s="1320"/>
      <c r="BX241" s="1320"/>
      <c r="BY241" s="1320"/>
      <c r="BZ241" s="1320"/>
      <c r="CA241" s="1320"/>
      <c r="CB241" s="1320"/>
      <c r="CC241" s="1320"/>
      <c r="CD241" s="1320"/>
      <c r="CE241" s="1320"/>
      <c r="CF241" s="1320"/>
      <c r="CG241" s="1320"/>
      <c r="CH241" s="1320"/>
      <c r="CI241" s="1320"/>
      <c r="CJ241" s="1320"/>
      <c r="CK241" s="1320"/>
      <c r="CL241" s="1320"/>
      <c r="CM241" s="1320"/>
      <c r="CN241" s="1320"/>
      <c r="CO241" s="1320"/>
      <c r="CP241" s="1320"/>
      <c r="CQ241" s="1320"/>
      <c r="CR241" s="1320"/>
      <c r="CS241" s="1320"/>
      <c r="CT241" s="1320"/>
      <c r="CU241" s="1320"/>
      <c r="CV241" s="1320"/>
      <c r="CW241" s="1320"/>
      <c r="CX241" s="1320"/>
      <c r="CY241" s="1320"/>
      <c r="CZ241" s="1320"/>
      <c r="DA241" s="1320"/>
      <c r="DB241" s="1320"/>
      <c r="DC241" s="1320"/>
      <c r="DD241" s="1320"/>
      <c r="DE241" s="1320"/>
      <c r="DF241" s="1320"/>
      <c r="DG241" s="1320"/>
      <c r="DH241" s="1320"/>
      <c r="DI241" s="1320"/>
      <c r="DJ241" s="1320"/>
      <c r="DK241" s="1320"/>
      <c r="DL241" s="1320"/>
      <c r="DM241" s="1320"/>
      <c r="DN241" s="1320"/>
      <c r="DO241" s="1320"/>
      <c r="DP241" s="1320"/>
      <c r="DQ241" s="1320"/>
      <c r="DR241" s="1320"/>
      <c r="DS241" s="1320"/>
      <c r="DT241" s="1320"/>
      <c r="DU241" s="1320"/>
    </row>
    <row r="242" spans="1:125" s="592" customFormat="1" ht="16.5" customHeight="1">
      <c r="A242" s="714" t="s">
        <v>449</v>
      </c>
      <c r="B242" s="789" t="s">
        <v>2343</v>
      </c>
      <c r="C242" s="1421" t="s">
        <v>654</v>
      </c>
      <c r="D242" s="790" t="s">
        <v>18</v>
      </c>
      <c r="E242" s="973"/>
      <c r="F242" s="973"/>
      <c r="G242" s="973">
        <v>6</v>
      </c>
      <c r="H242" s="782">
        <v>160</v>
      </c>
      <c r="I242" s="782"/>
      <c r="J242" s="782">
        <v>41</v>
      </c>
      <c r="K242" s="782">
        <v>85</v>
      </c>
      <c r="L242" s="782">
        <v>23</v>
      </c>
      <c r="M242" s="782">
        <v>158</v>
      </c>
      <c r="N242" s="774">
        <f t="shared" ref="N242:N248" si="27">SUM(E242:M242)</f>
        <v>473</v>
      </c>
      <c r="O242" s="771"/>
      <c r="P242" s="711">
        <f t="shared" si="23"/>
        <v>0</v>
      </c>
      <c r="Q242" s="1320"/>
      <c r="R242" s="1320"/>
      <c r="S242" s="1320"/>
      <c r="T242" s="1320"/>
      <c r="U242" s="1320"/>
      <c r="V242" s="1320"/>
      <c r="W242" s="1320"/>
      <c r="X242" s="1320"/>
      <c r="Y242" s="1320"/>
      <c r="Z242" s="1320"/>
      <c r="AA242" s="1320"/>
      <c r="AB242" s="1320"/>
      <c r="AC242" s="1320"/>
      <c r="AD242" s="1320"/>
      <c r="AE242" s="1320"/>
      <c r="AF242" s="1320"/>
      <c r="AG242" s="1320"/>
      <c r="AH242" s="1320"/>
      <c r="AI242" s="1320"/>
      <c r="AJ242" s="1320"/>
      <c r="AK242" s="1320"/>
      <c r="AL242" s="1320"/>
      <c r="AM242" s="1320"/>
      <c r="AN242" s="1320"/>
      <c r="AO242" s="1320"/>
      <c r="AP242" s="1320"/>
      <c r="AQ242" s="1320"/>
      <c r="AR242" s="1320"/>
      <c r="AS242" s="1320"/>
      <c r="AT242" s="1320"/>
      <c r="AU242" s="1320"/>
      <c r="AV242" s="1320"/>
      <c r="AW242" s="1320"/>
      <c r="AX242" s="1320"/>
      <c r="AY242" s="1320"/>
      <c r="AZ242" s="1320"/>
      <c r="BA242" s="1320"/>
      <c r="BB242" s="1320"/>
      <c r="BC242" s="1320"/>
      <c r="BD242" s="1320"/>
      <c r="BE242" s="1320"/>
      <c r="BF242" s="1320"/>
      <c r="BG242" s="1320"/>
      <c r="BH242" s="1320"/>
      <c r="BI242" s="1320"/>
      <c r="BJ242" s="1320"/>
      <c r="BK242" s="1320"/>
      <c r="BL242" s="1320"/>
      <c r="BM242" s="1320"/>
      <c r="BN242" s="1320"/>
      <c r="BO242" s="1320"/>
      <c r="BP242" s="1320"/>
      <c r="BQ242" s="1320"/>
      <c r="BR242" s="1320"/>
      <c r="BS242" s="1320"/>
      <c r="BT242" s="1320"/>
      <c r="BU242" s="1320"/>
      <c r="BV242" s="1320"/>
      <c r="BW242" s="1320"/>
      <c r="BX242" s="1320"/>
      <c r="BY242" s="1320"/>
      <c r="BZ242" s="1320"/>
      <c r="CA242" s="1320"/>
      <c r="CB242" s="1320"/>
      <c r="CC242" s="1320"/>
      <c r="CD242" s="1320"/>
      <c r="CE242" s="1320"/>
      <c r="CF242" s="1320"/>
      <c r="CG242" s="1320"/>
      <c r="CH242" s="1320"/>
      <c r="CI242" s="1320"/>
      <c r="CJ242" s="1320"/>
      <c r="CK242" s="1320"/>
      <c r="CL242" s="1320"/>
      <c r="CM242" s="1320"/>
      <c r="CN242" s="1320"/>
      <c r="CO242" s="1320"/>
      <c r="CP242" s="1320"/>
      <c r="CQ242" s="1320"/>
      <c r="CR242" s="1320"/>
      <c r="CS242" s="1320"/>
      <c r="CT242" s="1320"/>
      <c r="CU242" s="1320"/>
      <c r="CV242" s="1320"/>
      <c r="CW242" s="1320"/>
      <c r="CX242" s="1320"/>
      <c r="CY242" s="1320"/>
      <c r="CZ242" s="1320"/>
      <c r="DA242" s="1320"/>
      <c r="DB242" s="1320"/>
      <c r="DC242" s="1320"/>
      <c r="DD242" s="1320"/>
      <c r="DE242" s="1320"/>
      <c r="DF242" s="1320"/>
      <c r="DG242" s="1320"/>
      <c r="DH242" s="1320"/>
      <c r="DI242" s="1320"/>
      <c r="DJ242" s="1320"/>
      <c r="DK242" s="1320"/>
      <c r="DL242" s="1320"/>
      <c r="DM242" s="1320"/>
      <c r="DN242" s="1320"/>
      <c r="DO242" s="1320"/>
      <c r="DP242" s="1320"/>
      <c r="DQ242" s="1320"/>
      <c r="DR242" s="1320"/>
      <c r="DS242" s="1320"/>
      <c r="DT242" s="1320"/>
      <c r="DU242" s="1320"/>
    </row>
    <row r="243" spans="1:125" s="592" customFormat="1" ht="16.5" customHeight="1">
      <c r="A243" s="714" t="s">
        <v>583</v>
      </c>
      <c r="B243" s="789" t="s">
        <v>2344</v>
      </c>
      <c r="C243" s="1421" t="s">
        <v>655</v>
      </c>
      <c r="D243" s="790" t="s">
        <v>18</v>
      </c>
      <c r="E243" s="973"/>
      <c r="F243" s="973"/>
      <c r="G243" s="973"/>
      <c r="H243" s="782">
        <v>153</v>
      </c>
      <c r="I243" s="782"/>
      <c r="J243" s="782">
        <v>30</v>
      </c>
      <c r="K243" s="782">
        <v>60</v>
      </c>
      <c r="L243" s="782">
        <v>26</v>
      </c>
      <c r="M243" s="782">
        <v>367</v>
      </c>
      <c r="N243" s="774">
        <f t="shared" si="27"/>
        <v>636</v>
      </c>
      <c r="O243" s="771"/>
      <c r="P243" s="711">
        <f t="shared" si="23"/>
        <v>0</v>
      </c>
      <c r="Q243" s="1320"/>
      <c r="R243" s="1320"/>
      <c r="S243" s="1320"/>
      <c r="T243" s="1320"/>
      <c r="U243" s="1320"/>
      <c r="V243" s="1320"/>
      <c r="W243" s="1320"/>
      <c r="X243" s="1320"/>
      <c r="Y243" s="1320"/>
      <c r="Z243" s="1320"/>
      <c r="AA243" s="1320"/>
      <c r="AB243" s="1320"/>
      <c r="AC243" s="1320"/>
      <c r="AD243" s="1320"/>
      <c r="AE243" s="1320"/>
      <c r="AF243" s="1320"/>
      <c r="AG243" s="1320"/>
      <c r="AH243" s="1320"/>
      <c r="AI243" s="1320"/>
      <c r="AJ243" s="1320"/>
      <c r="AK243" s="1320"/>
      <c r="AL243" s="1320"/>
      <c r="AM243" s="1320"/>
      <c r="AN243" s="1320"/>
      <c r="AO243" s="1320"/>
      <c r="AP243" s="1320"/>
      <c r="AQ243" s="1320"/>
      <c r="AR243" s="1320"/>
      <c r="AS243" s="1320"/>
      <c r="AT243" s="1320"/>
      <c r="AU243" s="1320"/>
      <c r="AV243" s="1320"/>
      <c r="AW243" s="1320"/>
      <c r="AX243" s="1320"/>
      <c r="AY243" s="1320"/>
      <c r="AZ243" s="1320"/>
      <c r="BA243" s="1320"/>
      <c r="BB243" s="1320"/>
      <c r="BC243" s="1320"/>
      <c r="BD243" s="1320"/>
      <c r="BE243" s="1320"/>
      <c r="BF243" s="1320"/>
      <c r="BG243" s="1320"/>
      <c r="BH243" s="1320"/>
      <c r="BI243" s="1320"/>
      <c r="BJ243" s="1320"/>
      <c r="BK243" s="1320"/>
      <c r="BL243" s="1320"/>
      <c r="BM243" s="1320"/>
      <c r="BN243" s="1320"/>
      <c r="BO243" s="1320"/>
      <c r="BP243" s="1320"/>
      <c r="BQ243" s="1320"/>
      <c r="BR243" s="1320"/>
      <c r="BS243" s="1320"/>
      <c r="BT243" s="1320"/>
      <c r="BU243" s="1320"/>
      <c r="BV243" s="1320"/>
      <c r="BW243" s="1320"/>
      <c r="BX243" s="1320"/>
      <c r="BY243" s="1320"/>
      <c r="BZ243" s="1320"/>
      <c r="CA243" s="1320"/>
      <c r="CB243" s="1320"/>
      <c r="CC243" s="1320"/>
      <c r="CD243" s="1320"/>
      <c r="CE243" s="1320"/>
      <c r="CF243" s="1320"/>
      <c r="CG243" s="1320"/>
      <c r="CH243" s="1320"/>
      <c r="CI243" s="1320"/>
      <c r="CJ243" s="1320"/>
      <c r="CK243" s="1320"/>
      <c r="CL243" s="1320"/>
      <c r="CM243" s="1320"/>
      <c r="CN243" s="1320"/>
      <c r="CO243" s="1320"/>
      <c r="CP243" s="1320"/>
      <c r="CQ243" s="1320"/>
      <c r="CR243" s="1320"/>
      <c r="CS243" s="1320"/>
      <c r="CT243" s="1320"/>
      <c r="CU243" s="1320"/>
      <c r="CV243" s="1320"/>
      <c r="CW243" s="1320"/>
      <c r="CX243" s="1320"/>
      <c r="CY243" s="1320"/>
      <c r="CZ243" s="1320"/>
      <c r="DA243" s="1320"/>
      <c r="DB243" s="1320"/>
      <c r="DC243" s="1320"/>
      <c r="DD243" s="1320"/>
      <c r="DE243" s="1320"/>
      <c r="DF243" s="1320"/>
      <c r="DG243" s="1320"/>
      <c r="DH243" s="1320"/>
      <c r="DI243" s="1320"/>
      <c r="DJ243" s="1320"/>
      <c r="DK243" s="1320"/>
      <c r="DL243" s="1320"/>
      <c r="DM243" s="1320"/>
      <c r="DN243" s="1320"/>
      <c r="DO243" s="1320"/>
      <c r="DP243" s="1320"/>
      <c r="DQ243" s="1320"/>
      <c r="DR243" s="1320"/>
      <c r="DS243" s="1320"/>
      <c r="DT243" s="1320"/>
      <c r="DU243" s="1320"/>
    </row>
    <row r="244" spans="1:125" s="592" customFormat="1" ht="16.5" customHeight="1">
      <c r="A244" s="714" t="s">
        <v>584</v>
      </c>
      <c r="B244" s="789" t="s">
        <v>2345</v>
      </c>
      <c r="C244" s="1421" t="s">
        <v>656</v>
      </c>
      <c r="D244" s="790" t="s">
        <v>18</v>
      </c>
      <c r="E244" s="973"/>
      <c r="F244" s="973"/>
      <c r="G244" s="973">
        <v>8</v>
      </c>
      <c r="H244" s="782">
        <v>6</v>
      </c>
      <c r="I244" s="782"/>
      <c r="J244" s="782">
        <v>50</v>
      </c>
      <c r="K244" s="782">
        <v>85</v>
      </c>
      <c r="L244" s="782">
        <v>23</v>
      </c>
      <c r="M244" s="782">
        <v>152</v>
      </c>
      <c r="N244" s="774">
        <f t="shared" si="27"/>
        <v>324</v>
      </c>
      <c r="O244" s="771"/>
      <c r="P244" s="711">
        <f t="shared" si="23"/>
        <v>0</v>
      </c>
      <c r="Q244" s="1320"/>
      <c r="R244" s="1320"/>
      <c r="S244" s="1320"/>
      <c r="T244" s="1320"/>
      <c r="U244" s="1320"/>
      <c r="V244" s="1320"/>
      <c r="W244" s="1320"/>
      <c r="X244" s="1320"/>
      <c r="Y244" s="1320"/>
      <c r="Z244" s="1320"/>
      <c r="AA244" s="1320"/>
      <c r="AB244" s="1320"/>
      <c r="AC244" s="1320"/>
      <c r="AD244" s="1320"/>
      <c r="AE244" s="1320"/>
      <c r="AF244" s="1320"/>
      <c r="AG244" s="1320"/>
      <c r="AH244" s="1320"/>
      <c r="AI244" s="1320"/>
      <c r="AJ244" s="1320"/>
      <c r="AK244" s="1320"/>
      <c r="AL244" s="1320"/>
      <c r="AM244" s="1320"/>
      <c r="AN244" s="1320"/>
      <c r="AO244" s="1320"/>
      <c r="AP244" s="1320"/>
      <c r="AQ244" s="1320"/>
      <c r="AR244" s="1320"/>
      <c r="AS244" s="1320"/>
      <c r="AT244" s="1320"/>
      <c r="AU244" s="1320"/>
      <c r="AV244" s="1320"/>
      <c r="AW244" s="1320"/>
      <c r="AX244" s="1320"/>
      <c r="AY244" s="1320"/>
      <c r="AZ244" s="1320"/>
      <c r="BA244" s="1320"/>
      <c r="BB244" s="1320"/>
      <c r="BC244" s="1320"/>
      <c r="BD244" s="1320"/>
      <c r="BE244" s="1320"/>
      <c r="BF244" s="1320"/>
      <c r="BG244" s="1320"/>
      <c r="BH244" s="1320"/>
      <c r="BI244" s="1320"/>
      <c r="BJ244" s="1320"/>
      <c r="BK244" s="1320"/>
      <c r="BL244" s="1320"/>
      <c r="BM244" s="1320"/>
      <c r="BN244" s="1320"/>
      <c r="BO244" s="1320"/>
      <c r="BP244" s="1320"/>
      <c r="BQ244" s="1320"/>
      <c r="BR244" s="1320"/>
      <c r="BS244" s="1320"/>
      <c r="BT244" s="1320"/>
      <c r="BU244" s="1320"/>
      <c r="BV244" s="1320"/>
      <c r="BW244" s="1320"/>
      <c r="BX244" s="1320"/>
      <c r="BY244" s="1320"/>
      <c r="BZ244" s="1320"/>
      <c r="CA244" s="1320"/>
      <c r="CB244" s="1320"/>
      <c r="CC244" s="1320"/>
      <c r="CD244" s="1320"/>
      <c r="CE244" s="1320"/>
      <c r="CF244" s="1320"/>
      <c r="CG244" s="1320"/>
      <c r="CH244" s="1320"/>
      <c r="CI244" s="1320"/>
      <c r="CJ244" s="1320"/>
      <c r="CK244" s="1320"/>
      <c r="CL244" s="1320"/>
      <c r="CM244" s="1320"/>
      <c r="CN244" s="1320"/>
      <c r="CO244" s="1320"/>
      <c r="CP244" s="1320"/>
      <c r="CQ244" s="1320"/>
      <c r="CR244" s="1320"/>
      <c r="CS244" s="1320"/>
      <c r="CT244" s="1320"/>
      <c r="CU244" s="1320"/>
      <c r="CV244" s="1320"/>
      <c r="CW244" s="1320"/>
      <c r="CX244" s="1320"/>
      <c r="CY244" s="1320"/>
      <c r="CZ244" s="1320"/>
      <c r="DA244" s="1320"/>
      <c r="DB244" s="1320"/>
      <c r="DC244" s="1320"/>
      <c r="DD244" s="1320"/>
      <c r="DE244" s="1320"/>
      <c r="DF244" s="1320"/>
      <c r="DG244" s="1320"/>
      <c r="DH244" s="1320"/>
      <c r="DI244" s="1320"/>
      <c r="DJ244" s="1320"/>
      <c r="DK244" s="1320"/>
      <c r="DL244" s="1320"/>
      <c r="DM244" s="1320"/>
      <c r="DN244" s="1320"/>
      <c r="DO244" s="1320"/>
      <c r="DP244" s="1320"/>
      <c r="DQ244" s="1320"/>
      <c r="DR244" s="1320"/>
      <c r="DS244" s="1320"/>
      <c r="DT244" s="1320"/>
      <c r="DU244" s="1320"/>
    </row>
    <row r="245" spans="1:125" s="592" customFormat="1" ht="16.5" customHeight="1">
      <c r="A245" s="714" t="s">
        <v>594</v>
      </c>
      <c r="B245" s="789" t="s">
        <v>2346</v>
      </c>
      <c r="C245" s="1421" t="s">
        <v>657</v>
      </c>
      <c r="D245" s="790" t="s">
        <v>18</v>
      </c>
      <c r="E245" s="973"/>
      <c r="F245" s="973"/>
      <c r="G245" s="973"/>
      <c r="H245" s="782">
        <v>25</v>
      </c>
      <c r="I245" s="782"/>
      <c r="J245" s="782">
        <v>38</v>
      </c>
      <c r="K245" s="782">
        <v>120</v>
      </c>
      <c r="L245" s="782">
        <v>15</v>
      </c>
      <c r="M245" s="782">
        <v>158</v>
      </c>
      <c r="N245" s="774">
        <f t="shared" si="27"/>
        <v>356</v>
      </c>
      <c r="O245" s="771"/>
      <c r="P245" s="711">
        <f t="shared" si="23"/>
        <v>0</v>
      </c>
      <c r="Q245" s="1320"/>
      <c r="R245" s="1320"/>
      <c r="S245" s="1320"/>
      <c r="T245" s="1320"/>
      <c r="U245" s="1320"/>
      <c r="V245" s="1320"/>
      <c r="W245" s="1320"/>
      <c r="X245" s="1320"/>
      <c r="Y245" s="1320"/>
      <c r="Z245" s="1320"/>
      <c r="AA245" s="1320"/>
      <c r="AB245" s="1320"/>
      <c r="AC245" s="1320"/>
      <c r="AD245" s="1320"/>
      <c r="AE245" s="1320"/>
      <c r="AF245" s="1320"/>
      <c r="AG245" s="1320"/>
      <c r="AH245" s="1320"/>
      <c r="AI245" s="1320"/>
      <c r="AJ245" s="1320"/>
      <c r="AK245" s="1320"/>
      <c r="AL245" s="1320"/>
      <c r="AM245" s="1320"/>
      <c r="AN245" s="1320"/>
      <c r="AO245" s="1320"/>
      <c r="AP245" s="1320"/>
      <c r="AQ245" s="1320"/>
      <c r="AR245" s="1320"/>
      <c r="AS245" s="1320"/>
      <c r="AT245" s="1320"/>
      <c r="AU245" s="1320"/>
      <c r="AV245" s="1320"/>
      <c r="AW245" s="1320"/>
      <c r="AX245" s="1320"/>
      <c r="AY245" s="1320"/>
      <c r="AZ245" s="1320"/>
      <c r="BA245" s="1320"/>
      <c r="BB245" s="1320"/>
      <c r="BC245" s="1320"/>
      <c r="BD245" s="1320"/>
      <c r="BE245" s="1320"/>
      <c r="BF245" s="1320"/>
      <c r="BG245" s="1320"/>
      <c r="BH245" s="1320"/>
      <c r="BI245" s="1320"/>
      <c r="BJ245" s="1320"/>
      <c r="BK245" s="1320"/>
      <c r="BL245" s="1320"/>
      <c r="BM245" s="1320"/>
      <c r="BN245" s="1320"/>
      <c r="BO245" s="1320"/>
      <c r="BP245" s="1320"/>
      <c r="BQ245" s="1320"/>
      <c r="BR245" s="1320"/>
      <c r="BS245" s="1320"/>
      <c r="BT245" s="1320"/>
      <c r="BU245" s="1320"/>
      <c r="BV245" s="1320"/>
      <c r="BW245" s="1320"/>
      <c r="BX245" s="1320"/>
      <c r="BY245" s="1320"/>
      <c r="BZ245" s="1320"/>
      <c r="CA245" s="1320"/>
      <c r="CB245" s="1320"/>
      <c r="CC245" s="1320"/>
      <c r="CD245" s="1320"/>
      <c r="CE245" s="1320"/>
      <c r="CF245" s="1320"/>
      <c r="CG245" s="1320"/>
      <c r="CH245" s="1320"/>
      <c r="CI245" s="1320"/>
      <c r="CJ245" s="1320"/>
      <c r="CK245" s="1320"/>
      <c r="CL245" s="1320"/>
      <c r="CM245" s="1320"/>
      <c r="CN245" s="1320"/>
      <c r="CO245" s="1320"/>
      <c r="CP245" s="1320"/>
      <c r="CQ245" s="1320"/>
      <c r="CR245" s="1320"/>
      <c r="CS245" s="1320"/>
      <c r="CT245" s="1320"/>
      <c r="CU245" s="1320"/>
      <c r="CV245" s="1320"/>
      <c r="CW245" s="1320"/>
      <c r="CX245" s="1320"/>
      <c r="CY245" s="1320"/>
      <c r="CZ245" s="1320"/>
      <c r="DA245" s="1320"/>
      <c r="DB245" s="1320"/>
      <c r="DC245" s="1320"/>
      <c r="DD245" s="1320"/>
      <c r="DE245" s="1320"/>
      <c r="DF245" s="1320"/>
      <c r="DG245" s="1320"/>
      <c r="DH245" s="1320"/>
      <c r="DI245" s="1320"/>
      <c r="DJ245" s="1320"/>
      <c r="DK245" s="1320"/>
      <c r="DL245" s="1320"/>
      <c r="DM245" s="1320"/>
      <c r="DN245" s="1320"/>
      <c r="DO245" s="1320"/>
      <c r="DP245" s="1320"/>
      <c r="DQ245" s="1320"/>
      <c r="DR245" s="1320"/>
      <c r="DS245" s="1320"/>
      <c r="DT245" s="1320"/>
      <c r="DU245" s="1320"/>
    </row>
    <row r="246" spans="1:125" s="599" customFormat="1">
      <c r="A246" s="956" t="s">
        <v>812</v>
      </c>
      <c r="B246" s="1055" t="s">
        <v>424</v>
      </c>
      <c r="C246" s="1325" t="s">
        <v>435</v>
      </c>
      <c r="D246" s="702" t="s">
        <v>11</v>
      </c>
      <c r="E246" s="782">
        <f>155+497+717+536+879+411+698</f>
        <v>3893</v>
      </c>
      <c r="F246" s="782">
        <f>281+1138+998+474+529</f>
        <v>3420</v>
      </c>
      <c r="G246" s="782">
        <f>601+184+294+290+312</f>
        <v>1681</v>
      </c>
      <c r="H246" s="968">
        <f>10+8324</f>
        <v>8334</v>
      </c>
      <c r="I246" s="968">
        <v>466</v>
      </c>
      <c r="J246" s="968">
        <v>4663</v>
      </c>
      <c r="K246" s="968">
        <v>12749</v>
      </c>
      <c r="L246" s="968">
        <v>2047</v>
      </c>
      <c r="M246" s="968">
        <f>16524+391</f>
        <v>16915</v>
      </c>
      <c r="N246" s="774">
        <f t="shared" si="27"/>
        <v>54168</v>
      </c>
      <c r="O246" s="771"/>
      <c r="P246" s="711">
        <f t="shared" si="23"/>
        <v>0</v>
      </c>
      <c r="Q246" s="642"/>
      <c r="R246" s="642"/>
      <c r="S246" s="642"/>
      <c r="T246" s="642"/>
      <c r="U246" s="642"/>
      <c r="V246" s="642"/>
      <c r="W246" s="642"/>
      <c r="X246" s="642"/>
      <c r="Y246" s="642"/>
      <c r="Z246" s="642"/>
      <c r="AA246" s="642"/>
      <c r="AB246" s="642"/>
      <c r="AC246" s="642"/>
      <c r="AD246" s="642"/>
      <c r="AE246" s="642"/>
      <c r="AF246" s="642"/>
      <c r="AG246" s="642"/>
      <c r="AH246" s="642"/>
      <c r="AI246" s="642"/>
      <c r="AJ246" s="642"/>
      <c r="AK246" s="642"/>
      <c r="AL246" s="642"/>
      <c r="AM246" s="642"/>
      <c r="AN246" s="642"/>
      <c r="AO246" s="642"/>
      <c r="AP246" s="642"/>
      <c r="AQ246" s="642"/>
      <c r="AR246" s="642"/>
      <c r="AS246" s="642"/>
      <c r="AT246" s="642"/>
      <c r="AU246" s="642"/>
      <c r="AV246" s="642"/>
      <c r="AW246" s="642"/>
      <c r="AX246" s="642"/>
      <c r="AY246" s="642"/>
      <c r="AZ246" s="642"/>
      <c r="BA246" s="642"/>
      <c r="BB246" s="642"/>
      <c r="BC246" s="642"/>
      <c r="BD246" s="642"/>
      <c r="BE246" s="642"/>
      <c r="BF246" s="642"/>
      <c r="BG246" s="642"/>
      <c r="BH246" s="642"/>
      <c r="BI246" s="642"/>
      <c r="BJ246" s="642"/>
      <c r="BK246" s="642"/>
      <c r="BL246" s="642"/>
      <c r="BM246" s="642"/>
      <c r="BN246" s="642"/>
      <c r="BO246" s="642"/>
      <c r="BP246" s="642"/>
      <c r="BQ246" s="642"/>
      <c r="BR246" s="642"/>
      <c r="BS246" s="642"/>
      <c r="BT246" s="642"/>
      <c r="BU246" s="642"/>
      <c r="BV246" s="642"/>
      <c r="BW246" s="642"/>
      <c r="BX246" s="642"/>
      <c r="BY246" s="642"/>
      <c r="BZ246" s="642"/>
      <c r="CA246" s="642"/>
      <c r="CB246" s="642"/>
      <c r="CC246" s="642"/>
      <c r="CD246" s="642"/>
      <c r="CE246" s="642"/>
      <c r="CF246" s="642"/>
      <c r="CG246" s="642"/>
      <c r="CH246" s="642"/>
      <c r="CI246" s="642"/>
      <c r="CJ246" s="642"/>
      <c r="CK246" s="642"/>
      <c r="CL246" s="642"/>
      <c r="CM246" s="642"/>
      <c r="CN246" s="642"/>
      <c r="CO246" s="642"/>
      <c r="CP246" s="642"/>
      <c r="CQ246" s="642"/>
      <c r="CR246" s="642"/>
      <c r="CS246" s="642"/>
      <c r="CT246" s="642"/>
      <c r="CU246" s="642"/>
      <c r="CV246" s="642"/>
      <c r="CW246" s="642"/>
      <c r="CX246" s="642"/>
      <c r="CY246" s="642"/>
      <c r="CZ246" s="642"/>
      <c r="DA246" s="642"/>
      <c r="DB246" s="642"/>
      <c r="DC246" s="642"/>
      <c r="DD246" s="642"/>
      <c r="DE246" s="642"/>
      <c r="DF246" s="642"/>
      <c r="DG246" s="642"/>
      <c r="DH246" s="642"/>
      <c r="DI246" s="642"/>
      <c r="DJ246" s="642"/>
      <c r="DK246" s="642"/>
      <c r="DL246" s="642"/>
      <c r="DM246" s="642"/>
      <c r="DN246" s="642"/>
      <c r="DO246" s="642"/>
      <c r="DP246" s="642"/>
      <c r="DQ246" s="642"/>
      <c r="DR246" s="642"/>
      <c r="DS246" s="642"/>
      <c r="DT246" s="642"/>
      <c r="DU246" s="642"/>
    </row>
    <row r="247" spans="1:125" s="599" customFormat="1">
      <c r="A247" s="956" t="s">
        <v>814</v>
      </c>
      <c r="B247" s="1055" t="s">
        <v>423</v>
      </c>
      <c r="C247" s="1325" t="s">
        <v>2277</v>
      </c>
      <c r="D247" s="702" t="s">
        <v>18</v>
      </c>
      <c r="E247" s="782">
        <v>1</v>
      </c>
      <c r="F247" s="782">
        <v>1</v>
      </c>
      <c r="G247" s="782">
        <v>1</v>
      </c>
      <c r="H247" s="968">
        <v>5</v>
      </c>
      <c r="I247" s="968">
        <v>2</v>
      </c>
      <c r="J247" s="968">
        <v>1</v>
      </c>
      <c r="K247" s="968"/>
      <c r="L247" s="968">
        <v>1</v>
      </c>
      <c r="M247" s="968">
        <v>1</v>
      </c>
      <c r="N247" s="774">
        <f t="shared" si="27"/>
        <v>13</v>
      </c>
      <c r="O247" s="771"/>
      <c r="P247" s="711">
        <f t="shared" si="23"/>
        <v>0</v>
      </c>
      <c r="Q247" s="642"/>
      <c r="R247" s="642"/>
      <c r="S247" s="642"/>
      <c r="T247" s="642"/>
      <c r="U247" s="642"/>
      <c r="V247" s="642"/>
      <c r="W247" s="642"/>
      <c r="X247" s="642"/>
      <c r="Y247" s="642"/>
      <c r="Z247" s="642"/>
      <c r="AA247" s="642"/>
      <c r="AB247" s="642"/>
      <c r="AC247" s="642"/>
      <c r="AD247" s="642"/>
      <c r="AE247" s="642"/>
      <c r="AF247" s="642"/>
      <c r="AG247" s="642"/>
      <c r="AH247" s="642"/>
      <c r="AI247" s="642"/>
      <c r="AJ247" s="642"/>
      <c r="AK247" s="642"/>
      <c r="AL247" s="642"/>
      <c r="AM247" s="642"/>
      <c r="AN247" s="642"/>
      <c r="AO247" s="642"/>
      <c r="AP247" s="642"/>
      <c r="AQ247" s="642"/>
      <c r="AR247" s="642"/>
      <c r="AS247" s="642"/>
      <c r="AT247" s="642"/>
      <c r="AU247" s="642"/>
      <c r="AV247" s="642"/>
      <c r="AW247" s="642"/>
      <c r="AX247" s="642"/>
      <c r="AY247" s="642"/>
      <c r="AZ247" s="642"/>
      <c r="BA247" s="642"/>
      <c r="BB247" s="642"/>
      <c r="BC247" s="642"/>
      <c r="BD247" s="642"/>
      <c r="BE247" s="642"/>
      <c r="BF247" s="642"/>
      <c r="BG247" s="642"/>
      <c r="BH247" s="642"/>
      <c r="BI247" s="642"/>
      <c r="BJ247" s="642"/>
      <c r="BK247" s="642"/>
      <c r="BL247" s="642"/>
      <c r="BM247" s="642"/>
      <c r="BN247" s="642"/>
      <c r="BO247" s="642"/>
      <c r="BP247" s="642"/>
      <c r="BQ247" s="642"/>
      <c r="BR247" s="642"/>
      <c r="BS247" s="642"/>
      <c r="BT247" s="642"/>
      <c r="BU247" s="642"/>
      <c r="BV247" s="642"/>
      <c r="BW247" s="642"/>
      <c r="BX247" s="642"/>
      <c r="BY247" s="642"/>
      <c r="BZ247" s="642"/>
      <c r="CA247" s="642"/>
      <c r="CB247" s="642"/>
      <c r="CC247" s="642"/>
      <c r="CD247" s="642"/>
      <c r="CE247" s="642"/>
      <c r="CF247" s="642"/>
      <c r="CG247" s="642"/>
      <c r="CH247" s="642"/>
      <c r="CI247" s="642"/>
      <c r="CJ247" s="642"/>
      <c r="CK247" s="642"/>
      <c r="CL247" s="642"/>
      <c r="CM247" s="642"/>
      <c r="CN247" s="642"/>
      <c r="CO247" s="642"/>
      <c r="CP247" s="642"/>
      <c r="CQ247" s="642"/>
      <c r="CR247" s="642"/>
      <c r="CS247" s="642"/>
      <c r="CT247" s="642"/>
      <c r="CU247" s="642"/>
      <c r="CV247" s="642"/>
      <c r="CW247" s="642"/>
      <c r="CX247" s="642"/>
      <c r="CY247" s="642"/>
      <c r="CZ247" s="642"/>
      <c r="DA247" s="642"/>
      <c r="DB247" s="642"/>
      <c r="DC247" s="642"/>
      <c r="DD247" s="642"/>
      <c r="DE247" s="642"/>
      <c r="DF247" s="642"/>
      <c r="DG247" s="642"/>
      <c r="DH247" s="642"/>
      <c r="DI247" s="642"/>
      <c r="DJ247" s="642"/>
      <c r="DK247" s="642"/>
      <c r="DL247" s="642"/>
      <c r="DM247" s="642"/>
      <c r="DN247" s="642"/>
      <c r="DO247" s="642"/>
      <c r="DP247" s="642"/>
      <c r="DQ247" s="642"/>
      <c r="DR247" s="642"/>
      <c r="DS247" s="642"/>
      <c r="DT247" s="642"/>
      <c r="DU247" s="642"/>
    </row>
    <row r="248" spans="1:125" s="600" customFormat="1">
      <c r="A248" s="956" t="s">
        <v>815</v>
      </c>
      <c r="B248" s="1057" t="s">
        <v>425</v>
      </c>
      <c r="C248" s="1325" t="s">
        <v>384</v>
      </c>
      <c r="D248" s="702" t="s">
        <v>11</v>
      </c>
      <c r="E248" s="782">
        <f>155+497+717+536+879+411+698</f>
        <v>3893</v>
      </c>
      <c r="F248" s="782">
        <f>281+1138+998+474+529</f>
        <v>3420</v>
      </c>
      <c r="G248" s="782">
        <f>601+184+294+290+312</f>
        <v>1681</v>
      </c>
      <c r="H248" s="968">
        <f>10+8324+614+821</f>
        <v>9769</v>
      </c>
      <c r="I248" s="968">
        <f>466+334</f>
        <v>800</v>
      </c>
      <c r="J248" s="968">
        <f>4663+279+30</f>
        <v>4972</v>
      </c>
      <c r="K248" s="968">
        <f>2239+1734+12749</f>
        <v>16722</v>
      </c>
      <c r="L248" s="968">
        <f>121+482+2047</f>
        <v>2650</v>
      </c>
      <c r="M248" s="968">
        <f>391+16524+1707</f>
        <v>18622</v>
      </c>
      <c r="N248" s="774">
        <f t="shared" si="27"/>
        <v>62529</v>
      </c>
      <c r="O248" s="771"/>
      <c r="P248" s="711">
        <f t="shared" ref="P248:P255" si="28">N248*O248</f>
        <v>0</v>
      </c>
      <c r="Q248" s="642"/>
      <c r="R248" s="642"/>
      <c r="S248" s="642"/>
      <c r="T248" s="642"/>
      <c r="U248" s="642"/>
      <c r="V248" s="642"/>
      <c r="W248" s="642"/>
      <c r="X248" s="642"/>
      <c r="Y248" s="642"/>
      <c r="Z248" s="642"/>
      <c r="AA248" s="642"/>
      <c r="AB248" s="642"/>
      <c r="AC248" s="642"/>
      <c r="AD248" s="642"/>
      <c r="AE248" s="642"/>
      <c r="AF248" s="642"/>
      <c r="AG248" s="642"/>
      <c r="AH248" s="642"/>
      <c r="AI248" s="642"/>
      <c r="AJ248" s="642"/>
      <c r="AK248" s="642"/>
      <c r="AL248" s="642"/>
      <c r="AM248" s="642"/>
      <c r="AN248" s="642"/>
      <c r="AO248" s="642"/>
      <c r="AP248" s="642"/>
      <c r="AQ248" s="642"/>
      <c r="AR248" s="642"/>
      <c r="AS248" s="642"/>
      <c r="AT248" s="642"/>
      <c r="AU248" s="642"/>
      <c r="AV248" s="642"/>
      <c r="AW248" s="642"/>
      <c r="AX248" s="642"/>
      <c r="AY248" s="642"/>
      <c r="AZ248" s="642"/>
      <c r="BA248" s="642"/>
      <c r="BB248" s="642"/>
      <c r="BC248" s="642"/>
      <c r="BD248" s="642"/>
      <c r="BE248" s="642"/>
      <c r="BF248" s="642"/>
      <c r="BG248" s="642"/>
      <c r="BH248" s="642"/>
      <c r="BI248" s="642"/>
      <c r="BJ248" s="642"/>
      <c r="BK248" s="642"/>
      <c r="BL248" s="642"/>
      <c r="BM248" s="642"/>
      <c r="BN248" s="642"/>
      <c r="BO248" s="642"/>
      <c r="BP248" s="642"/>
      <c r="BQ248" s="642"/>
      <c r="BR248" s="642"/>
      <c r="BS248" s="642"/>
      <c r="BT248" s="642"/>
      <c r="BU248" s="642"/>
      <c r="BV248" s="642"/>
      <c r="BW248" s="642"/>
      <c r="BX248" s="642"/>
      <c r="BY248" s="642"/>
      <c r="BZ248" s="642"/>
      <c r="CA248" s="642"/>
      <c r="CB248" s="642"/>
      <c r="CC248" s="642"/>
      <c r="CD248" s="642"/>
      <c r="CE248" s="642"/>
      <c r="CF248" s="642"/>
      <c r="CG248" s="642"/>
      <c r="CH248" s="642"/>
      <c r="CI248" s="642"/>
      <c r="CJ248" s="642"/>
      <c r="CK248" s="642"/>
      <c r="CL248" s="642"/>
      <c r="CM248" s="642"/>
      <c r="CN248" s="642"/>
      <c r="CO248" s="642"/>
      <c r="CP248" s="642"/>
      <c r="CQ248" s="642"/>
      <c r="CR248" s="642"/>
      <c r="CS248" s="642"/>
      <c r="CT248" s="642"/>
      <c r="CU248" s="642"/>
      <c r="CV248" s="642"/>
      <c r="CW248" s="642"/>
      <c r="CX248" s="642"/>
      <c r="CY248" s="642"/>
      <c r="CZ248" s="642"/>
      <c r="DA248" s="642"/>
      <c r="DB248" s="642"/>
      <c r="DC248" s="642"/>
      <c r="DD248" s="642"/>
      <c r="DE248" s="642"/>
      <c r="DF248" s="642"/>
      <c r="DG248" s="642"/>
      <c r="DH248" s="642"/>
      <c r="DI248" s="642"/>
      <c r="DJ248" s="642"/>
      <c r="DK248" s="642"/>
      <c r="DL248" s="642"/>
      <c r="DM248" s="642"/>
      <c r="DN248" s="642"/>
      <c r="DO248" s="642"/>
      <c r="DP248" s="642"/>
      <c r="DQ248" s="642"/>
      <c r="DR248" s="642"/>
      <c r="DS248" s="642"/>
      <c r="DT248" s="642"/>
      <c r="DU248" s="642"/>
    </row>
    <row r="249" spans="1:125" s="600" customFormat="1">
      <c r="A249" s="956" t="s">
        <v>817</v>
      </c>
      <c r="B249" s="1055" t="s">
        <v>421</v>
      </c>
      <c r="C249" s="1423"/>
      <c r="D249" s="702"/>
      <c r="E249" s="782"/>
      <c r="F249" s="782"/>
      <c r="G249" s="782"/>
      <c r="H249" s="968"/>
      <c r="I249" s="968"/>
      <c r="J249" s="968"/>
      <c r="K249" s="968"/>
      <c r="L249" s="968"/>
      <c r="M249" s="968"/>
      <c r="N249" s="774"/>
      <c r="O249" s="775"/>
      <c r="P249" s="711"/>
      <c r="Q249" s="642"/>
      <c r="R249" s="642"/>
      <c r="S249" s="642"/>
      <c r="T249" s="642"/>
      <c r="U249" s="642"/>
      <c r="V249" s="642"/>
      <c r="W249" s="642"/>
      <c r="X249" s="642"/>
      <c r="Y249" s="642"/>
      <c r="Z249" s="642"/>
      <c r="AA249" s="642"/>
      <c r="AB249" s="642"/>
      <c r="AC249" s="642"/>
      <c r="AD249" s="642"/>
      <c r="AE249" s="642"/>
      <c r="AF249" s="642"/>
      <c r="AG249" s="642"/>
      <c r="AH249" s="642"/>
      <c r="AI249" s="642"/>
      <c r="AJ249" s="642"/>
      <c r="AK249" s="642"/>
      <c r="AL249" s="642"/>
      <c r="AM249" s="642"/>
      <c r="AN249" s="642"/>
      <c r="AO249" s="642"/>
      <c r="AP249" s="642"/>
      <c r="AQ249" s="642"/>
      <c r="AR249" s="642"/>
      <c r="AS249" s="642"/>
      <c r="AT249" s="642"/>
      <c r="AU249" s="642"/>
      <c r="AV249" s="642"/>
      <c r="AW249" s="642"/>
      <c r="AX249" s="642"/>
      <c r="AY249" s="642"/>
      <c r="AZ249" s="642"/>
      <c r="BA249" s="642"/>
      <c r="BB249" s="642"/>
      <c r="BC249" s="642"/>
      <c r="BD249" s="642"/>
      <c r="BE249" s="642"/>
      <c r="BF249" s="642"/>
      <c r="BG249" s="642"/>
      <c r="BH249" s="642"/>
      <c r="BI249" s="642"/>
      <c r="BJ249" s="642"/>
      <c r="BK249" s="642"/>
      <c r="BL249" s="642"/>
      <c r="BM249" s="642"/>
      <c r="BN249" s="642"/>
      <c r="BO249" s="642"/>
      <c r="BP249" s="642"/>
      <c r="BQ249" s="642"/>
      <c r="BR249" s="642"/>
      <c r="BS249" s="642"/>
      <c r="BT249" s="642"/>
      <c r="BU249" s="642"/>
      <c r="BV249" s="642"/>
      <c r="BW249" s="642"/>
      <c r="BX249" s="642"/>
      <c r="BY249" s="642"/>
      <c r="BZ249" s="642"/>
      <c r="CA249" s="642"/>
      <c r="CB249" s="642"/>
      <c r="CC249" s="642"/>
      <c r="CD249" s="642"/>
      <c r="CE249" s="642"/>
      <c r="CF249" s="642"/>
      <c r="CG249" s="642"/>
      <c r="CH249" s="642"/>
      <c r="CI249" s="642"/>
      <c r="CJ249" s="642"/>
      <c r="CK249" s="642"/>
      <c r="CL249" s="642"/>
      <c r="CM249" s="642"/>
      <c r="CN249" s="642"/>
      <c r="CO249" s="642"/>
      <c r="CP249" s="642"/>
      <c r="CQ249" s="642"/>
      <c r="CR249" s="642"/>
      <c r="CS249" s="642"/>
      <c r="CT249" s="642"/>
      <c r="CU249" s="642"/>
      <c r="CV249" s="642"/>
      <c r="CW249" s="642"/>
      <c r="CX249" s="642"/>
      <c r="CY249" s="642"/>
      <c r="CZ249" s="642"/>
      <c r="DA249" s="642"/>
      <c r="DB249" s="642"/>
      <c r="DC249" s="642"/>
      <c r="DD249" s="642"/>
      <c r="DE249" s="642"/>
      <c r="DF249" s="642"/>
      <c r="DG249" s="642"/>
      <c r="DH249" s="642"/>
      <c r="DI249" s="642"/>
      <c r="DJ249" s="642"/>
      <c r="DK249" s="642"/>
      <c r="DL249" s="642"/>
      <c r="DM249" s="642"/>
      <c r="DN249" s="642"/>
      <c r="DO249" s="642"/>
      <c r="DP249" s="642"/>
      <c r="DQ249" s="642"/>
      <c r="DR249" s="642"/>
      <c r="DS249" s="642"/>
      <c r="DT249" s="642"/>
      <c r="DU249" s="642"/>
    </row>
    <row r="250" spans="1:125" s="600" customFormat="1">
      <c r="A250" s="957" t="s">
        <v>819</v>
      </c>
      <c r="B250" s="1098" t="s">
        <v>499</v>
      </c>
      <c r="C250" s="1327" t="s">
        <v>415</v>
      </c>
      <c r="D250" s="737" t="s">
        <v>11</v>
      </c>
      <c r="E250" s="782">
        <f>155+497+717+536+879+411+698+12+39+18+18+6</f>
        <v>3986</v>
      </c>
      <c r="F250" s="782">
        <f>281+1138+998+474+529+282+12+10+4+2</f>
        <v>3730</v>
      </c>
      <c r="G250" s="782">
        <f>601+184+294+290+312+10+4+4+4</f>
        <v>1703</v>
      </c>
      <c r="H250" s="968">
        <f>8324+10</f>
        <v>8334</v>
      </c>
      <c r="I250" s="968">
        <v>466</v>
      </c>
      <c r="J250" s="968">
        <v>4663</v>
      </c>
      <c r="K250" s="968">
        <v>12749</v>
      </c>
      <c r="L250" s="968">
        <v>2047</v>
      </c>
      <c r="M250" s="968">
        <f>16524+391</f>
        <v>16915</v>
      </c>
      <c r="N250" s="774">
        <f>SUM(E250:M250)</f>
        <v>54593</v>
      </c>
      <c r="O250" s="771"/>
      <c r="P250" s="711">
        <f t="shared" si="28"/>
        <v>0</v>
      </c>
      <c r="Q250" s="642"/>
      <c r="R250" s="642"/>
      <c r="S250" s="642"/>
      <c r="T250" s="642"/>
      <c r="U250" s="642"/>
      <c r="V250" s="642"/>
      <c r="W250" s="642"/>
      <c r="X250" s="642"/>
      <c r="Y250" s="642"/>
      <c r="Z250" s="642"/>
      <c r="AA250" s="642"/>
      <c r="AB250" s="642"/>
      <c r="AC250" s="642"/>
      <c r="AD250" s="642"/>
      <c r="AE250" s="642"/>
      <c r="AF250" s="642"/>
      <c r="AG250" s="642"/>
      <c r="AH250" s="642"/>
      <c r="AI250" s="642"/>
      <c r="AJ250" s="642"/>
      <c r="AK250" s="642"/>
      <c r="AL250" s="642"/>
      <c r="AM250" s="642"/>
      <c r="AN250" s="642"/>
      <c r="AO250" s="642"/>
      <c r="AP250" s="642"/>
      <c r="AQ250" s="642"/>
      <c r="AR250" s="642"/>
      <c r="AS250" s="642"/>
      <c r="AT250" s="642"/>
      <c r="AU250" s="642"/>
      <c r="AV250" s="642"/>
      <c r="AW250" s="642"/>
      <c r="AX250" s="642"/>
      <c r="AY250" s="642"/>
      <c r="AZ250" s="642"/>
      <c r="BA250" s="642"/>
      <c r="BB250" s="642"/>
      <c r="BC250" s="642"/>
      <c r="BD250" s="642"/>
      <c r="BE250" s="642"/>
      <c r="BF250" s="642"/>
      <c r="BG250" s="642"/>
      <c r="BH250" s="642"/>
      <c r="BI250" s="642"/>
      <c r="BJ250" s="642"/>
      <c r="BK250" s="642"/>
      <c r="BL250" s="642"/>
      <c r="BM250" s="642"/>
      <c r="BN250" s="642"/>
      <c r="BO250" s="642"/>
      <c r="BP250" s="642"/>
      <c r="BQ250" s="642"/>
      <c r="BR250" s="642"/>
      <c r="BS250" s="642"/>
      <c r="BT250" s="642"/>
      <c r="BU250" s="642"/>
      <c r="BV250" s="642"/>
      <c r="BW250" s="642"/>
      <c r="BX250" s="642"/>
      <c r="BY250" s="642"/>
      <c r="BZ250" s="642"/>
      <c r="CA250" s="642"/>
      <c r="CB250" s="642"/>
      <c r="CC250" s="642"/>
      <c r="CD250" s="642"/>
      <c r="CE250" s="642"/>
      <c r="CF250" s="642"/>
      <c r="CG250" s="642"/>
      <c r="CH250" s="642"/>
      <c r="CI250" s="642"/>
      <c r="CJ250" s="642"/>
      <c r="CK250" s="642"/>
      <c r="CL250" s="642"/>
      <c r="CM250" s="642"/>
      <c r="CN250" s="642"/>
      <c r="CO250" s="642"/>
      <c r="CP250" s="642"/>
      <c r="CQ250" s="642"/>
      <c r="CR250" s="642"/>
      <c r="CS250" s="642"/>
      <c r="CT250" s="642"/>
      <c r="CU250" s="642"/>
      <c r="CV250" s="642"/>
      <c r="CW250" s="642"/>
      <c r="CX250" s="642"/>
      <c r="CY250" s="642"/>
      <c r="CZ250" s="642"/>
      <c r="DA250" s="642"/>
      <c r="DB250" s="642"/>
      <c r="DC250" s="642"/>
      <c r="DD250" s="642"/>
      <c r="DE250" s="642"/>
      <c r="DF250" s="642"/>
      <c r="DG250" s="642"/>
      <c r="DH250" s="642"/>
      <c r="DI250" s="642"/>
      <c r="DJ250" s="642"/>
      <c r="DK250" s="642"/>
      <c r="DL250" s="642"/>
      <c r="DM250" s="642"/>
      <c r="DN250" s="642"/>
      <c r="DO250" s="642"/>
      <c r="DP250" s="642"/>
      <c r="DQ250" s="642"/>
      <c r="DR250" s="642"/>
      <c r="DS250" s="642"/>
      <c r="DT250" s="642"/>
      <c r="DU250" s="642"/>
    </row>
    <row r="251" spans="1:125" s="600" customFormat="1">
      <c r="A251" s="957" t="s">
        <v>1410</v>
      </c>
      <c r="B251" s="1098" t="s">
        <v>500</v>
      </c>
      <c r="C251" s="1327" t="s">
        <v>415</v>
      </c>
      <c r="D251" s="737" t="s">
        <v>18</v>
      </c>
      <c r="E251" s="782">
        <v>83</v>
      </c>
      <c r="F251" s="782">
        <v>89</v>
      </c>
      <c r="G251" s="782">
        <v>56</v>
      </c>
      <c r="H251" s="968">
        <v>260</v>
      </c>
      <c r="I251" s="968">
        <v>13</v>
      </c>
      <c r="J251" s="968">
        <v>142</v>
      </c>
      <c r="K251" s="968">
        <f>259+17</f>
        <v>276</v>
      </c>
      <c r="L251" s="968">
        <f>49+4</f>
        <v>53</v>
      </c>
      <c r="M251" s="968">
        <v>508</v>
      </c>
      <c r="N251" s="774">
        <f>SUM(E251:M251)</f>
        <v>1480</v>
      </c>
      <c r="O251" s="771"/>
      <c r="P251" s="711">
        <f t="shared" si="28"/>
        <v>0</v>
      </c>
      <c r="Q251" s="642"/>
      <c r="R251" s="642"/>
      <c r="S251" s="642"/>
      <c r="T251" s="642"/>
      <c r="U251" s="642"/>
      <c r="V251" s="642"/>
      <c r="W251" s="642"/>
      <c r="X251" s="642"/>
      <c r="Y251" s="642"/>
      <c r="Z251" s="642"/>
      <c r="AA251" s="642"/>
      <c r="AB251" s="642"/>
      <c r="AC251" s="642"/>
      <c r="AD251" s="642"/>
      <c r="AE251" s="642"/>
      <c r="AF251" s="642"/>
      <c r="AG251" s="642"/>
      <c r="AH251" s="642"/>
      <c r="AI251" s="642"/>
      <c r="AJ251" s="642"/>
      <c r="AK251" s="642"/>
      <c r="AL251" s="642"/>
      <c r="AM251" s="642"/>
      <c r="AN251" s="642"/>
      <c r="AO251" s="642"/>
      <c r="AP251" s="642"/>
      <c r="AQ251" s="642"/>
      <c r="AR251" s="642"/>
      <c r="AS251" s="642"/>
      <c r="AT251" s="642"/>
      <c r="AU251" s="642"/>
      <c r="AV251" s="642"/>
      <c r="AW251" s="642"/>
      <c r="AX251" s="642"/>
      <c r="AY251" s="642"/>
      <c r="AZ251" s="642"/>
      <c r="BA251" s="642"/>
      <c r="BB251" s="642"/>
      <c r="BC251" s="642"/>
      <c r="BD251" s="642"/>
      <c r="BE251" s="642"/>
      <c r="BF251" s="642"/>
      <c r="BG251" s="642"/>
      <c r="BH251" s="642"/>
      <c r="BI251" s="642"/>
      <c r="BJ251" s="642"/>
      <c r="BK251" s="642"/>
      <c r="BL251" s="642"/>
      <c r="BM251" s="642"/>
      <c r="BN251" s="642"/>
      <c r="BO251" s="642"/>
      <c r="BP251" s="642"/>
      <c r="BQ251" s="642"/>
      <c r="BR251" s="642"/>
      <c r="BS251" s="642"/>
      <c r="BT251" s="642"/>
      <c r="BU251" s="642"/>
      <c r="BV251" s="642"/>
      <c r="BW251" s="642"/>
      <c r="BX251" s="642"/>
      <c r="BY251" s="642"/>
      <c r="BZ251" s="642"/>
      <c r="CA251" s="642"/>
      <c r="CB251" s="642"/>
      <c r="CC251" s="642"/>
      <c r="CD251" s="642"/>
      <c r="CE251" s="642"/>
      <c r="CF251" s="642"/>
      <c r="CG251" s="642"/>
      <c r="CH251" s="642"/>
      <c r="CI251" s="642"/>
      <c r="CJ251" s="642"/>
      <c r="CK251" s="642"/>
      <c r="CL251" s="642"/>
      <c r="CM251" s="642"/>
      <c r="CN251" s="642"/>
      <c r="CO251" s="642"/>
      <c r="CP251" s="642"/>
      <c r="CQ251" s="642"/>
      <c r="CR251" s="642"/>
      <c r="CS251" s="642"/>
      <c r="CT251" s="642"/>
      <c r="CU251" s="642"/>
      <c r="CV251" s="642"/>
      <c r="CW251" s="642"/>
      <c r="CX251" s="642"/>
      <c r="CY251" s="642"/>
      <c r="CZ251" s="642"/>
      <c r="DA251" s="642"/>
      <c r="DB251" s="642"/>
      <c r="DC251" s="642"/>
      <c r="DD251" s="642"/>
      <c r="DE251" s="642"/>
      <c r="DF251" s="642"/>
      <c r="DG251" s="642"/>
      <c r="DH251" s="642"/>
      <c r="DI251" s="642"/>
      <c r="DJ251" s="642"/>
      <c r="DK251" s="642"/>
      <c r="DL251" s="642"/>
      <c r="DM251" s="642"/>
      <c r="DN251" s="642"/>
      <c r="DO251" s="642"/>
      <c r="DP251" s="642"/>
      <c r="DQ251" s="642"/>
      <c r="DR251" s="642"/>
      <c r="DS251" s="642"/>
      <c r="DT251" s="642"/>
      <c r="DU251" s="642"/>
    </row>
    <row r="252" spans="1:125" s="600" customFormat="1">
      <c r="A252" s="955" t="s">
        <v>1411</v>
      </c>
      <c r="B252" s="1064" t="s">
        <v>422</v>
      </c>
      <c r="C252" s="1423"/>
      <c r="D252" s="702" t="s">
        <v>11</v>
      </c>
      <c r="E252" s="782"/>
      <c r="F252" s="782"/>
      <c r="G252" s="782"/>
      <c r="H252" s="968"/>
      <c r="I252" s="968"/>
      <c r="J252" s="968"/>
      <c r="K252" s="968"/>
      <c r="L252" s="968"/>
      <c r="M252" s="968"/>
      <c r="N252" s="774"/>
      <c r="O252" s="775"/>
      <c r="P252" s="711"/>
      <c r="Q252" s="642"/>
      <c r="R252" s="642"/>
      <c r="S252" s="642"/>
      <c r="T252" s="642"/>
      <c r="U252" s="642"/>
      <c r="V252" s="642"/>
      <c r="W252" s="642"/>
      <c r="X252" s="642"/>
      <c r="Y252" s="642"/>
      <c r="Z252" s="642"/>
      <c r="AA252" s="642"/>
      <c r="AB252" s="642"/>
      <c r="AC252" s="642"/>
      <c r="AD252" s="642"/>
      <c r="AE252" s="642"/>
      <c r="AF252" s="642"/>
      <c r="AG252" s="642"/>
      <c r="AH252" s="642"/>
      <c r="AI252" s="642"/>
      <c r="AJ252" s="642"/>
      <c r="AK252" s="642"/>
      <c r="AL252" s="642"/>
      <c r="AM252" s="642"/>
      <c r="AN252" s="642"/>
      <c r="AO252" s="642"/>
      <c r="AP252" s="642"/>
      <c r="AQ252" s="642"/>
      <c r="AR252" s="642"/>
      <c r="AS252" s="642"/>
      <c r="AT252" s="642"/>
      <c r="AU252" s="642"/>
      <c r="AV252" s="642"/>
      <c r="AW252" s="642"/>
      <c r="AX252" s="642"/>
      <c r="AY252" s="642"/>
      <c r="AZ252" s="642"/>
      <c r="BA252" s="642"/>
      <c r="BB252" s="642"/>
      <c r="BC252" s="642"/>
      <c r="BD252" s="642"/>
      <c r="BE252" s="642"/>
      <c r="BF252" s="642"/>
      <c r="BG252" s="642"/>
      <c r="BH252" s="642"/>
      <c r="BI252" s="642"/>
      <c r="BJ252" s="642"/>
      <c r="BK252" s="642"/>
      <c r="BL252" s="642"/>
      <c r="BM252" s="642"/>
      <c r="BN252" s="642"/>
      <c r="BO252" s="642"/>
      <c r="BP252" s="642"/>
      <c r="BQ252" s="642"/>
      <c r="BR252" s="642"/>
      <c r="BS252" s="642"/>
      <c r="BT252" s="642"/>
      <c r="BU252" s="642"/>
      <c r="BV252" s="642"/>
      <c r="BW252" s="642"/>
      <c r="BX252" s="642"/>
      <c r="BY252" s="642"/>
      <c r="BZ252" s="642"/>
      <c r="CA252" s="642"/>
      <c r="CB252" s="642"/>
      <c r="CC252" s="642"/>
      <c r="CD252" s="642"/>
      <c r="CE252" s="642"/>
      <c r="CF252" s="642"/>
      <c r="CG252" s="642"/>
      <c r="CH252" s="642"/>
      <c r="CI252" s="642"/>
      <c r="CJ252" s="642"/>
      <c r="CK252" s="642"/>
      <c r="CL252" s="642"/>
      <c r="CM252" s="642"/>
      <c r="CN252" s="642"/>
      <c r="CO252" s="642"/>
      <c r="CP252" s="642"/>
      <c r="CQ252" s="642"/>
      <c r="CR252" s="642"/>
      <c r="CS252" s="642"/>
      <c r="CT252" s="642"/>
      <c r="CU252" s="642"/>
      <c r="CV252" s="642"/>
      <c r="CW252" s="642"/>
      <c r="CX252" s="642"/>
      <c r="CY252" s="642"/>
      <c r="CZ252" s="642"/>
      <c r="DA252" s="642"/>
      <c r="DB252" s="642"/>
      <c r="DC252" s="642"/>
      <c r="DD252" s="642"/>
      <c r="DE252" s="642"/>
      <c r="DF252" s="642"/>
      <c r="DG252" s="642"/>
      <c r="DH252" s="642"/>
      <c r="DI252" s="642"/>
      <c r="DJ252" s="642"/>
      <c r="DK252" s="642"/>
      <c r="DL252" s="642"/>
      <c r="DM252" s="642"/>
      <c r="DN252" s="642"/>
      <c r="DO252" s="642"/>
      <c r="DP252" s="642"/>
      <c r="DQ252" s="642"/>
      <c r="DR252" s="642"/>
      <c r="DS252" s="642"/>
      <c r="DT252" s="642"/>
      <c r="DU252" s="642"/>
    </row>
    <row r="253" spans="1:125" s="600" customFormat="1">
      <c r="A253" s="957" t="s">
        <v>1412</v>
      </c>
      <c r="B253" s="964" t="s">
        <v>569</v>
      </c>
      <c r="C253" s="1424" t="s">
        <v>434</v>
      </c>
      <c r="D253" s="737" t="s">
        <v>11</v>
      </c>
      <c r="E253" s="782"/>
      <c r="F253" s="782"/>
      <c r="G253" s="782"/>
      <c r="H253" s="968">
        <v>821</v>
      </c>
      <c r="I253" s="968">
        <v>334</v>
      </c>
      <c r="J253" s="968">
        <v>31</v>
      </c>
      <c r="K253" s="968">
        <v>2239</v>
      </c>
      <c r="L253" s="968">
        <v>121</v>
      </c>
      <c r="M253" s="968">
        <v>1707</v>
      </c>
      <c r="N253" s="774">
        <f>SUM(E253:M253)</f>
        <v>5253</v>
      </c>
      <c r="O253" s="771"/>
      <c r="P253" s="711">
        <f t="shared" si="28"/>
        <v>0</v>
      </c>
      <c r="Q253" s="642"/>
      <c r="R253" s="642"/>
      <c r="S253" s="642"/>
      <c r="T253" s="642"/>
      <c r="U253" s="642"/>
      <c r="V253" s="642"/>
      <c r="W253" s="642"/>
      <c r="X253" s="642"/>
      <c r="Y253" s="642"/>
      <c r="Z253" s="642"/>
      <c r="AA253" s="642"/>
      <c r="AB253" s="642"/>
      <c r="AC253" s="642"/>
      <c r="AD253" s="642"/>
      <c r="AE253" s="642"/>
      <c r="AF253" s="642"/>
      <c r="AG253" s="642"/>
      <c r="AH253" s="642"/>
      <c r="AI253" s="642"/>
      <c r="AJ253" s="642"/>
      <c r="AK253" s="642"/>
      <c r="AL253" s="642"/>
      <c r="AM253" s="642"/>
      <c r="AN253" s="642"/>
      <c r="AO253" s="642"/>
      <c r="AP253" s="642"/>
      <c r="AQ253" s="642"/>
      <c r="AR253" s="642"/>
      <c r="AS253" s="642"/>
      <c r="AT253" s="642"/>
      <c r="AU253" s="642"/>
      <c r="AV253" s="642"/>
      <c r="AW253" s="642"/>
      <c r="AX253" s="642"/>
      <c r="AY253" s="642"/>
      <c r="AZ253" s="642"/>
      <c r="BA253" s="642"/>
      <c r="BB253" s="642"/>
      <c r="BC253" s="642"/>
      <c r="BD253" s="642"/>
      <c r="BE253" s="642"/>
      <c r="BF253" s="642"/>
      <c r="BG253" s="642"/>
      <c r="BH253" s="642"/>
      <c r="BI253" s="642"/>
      <c r="BJ253" s="642"/>
      <c r="BK253" s="642"/>
      <c r="BL253" s="642"/>
      <c r="BM253" s="642"/>
      <c r="BN253" s="642"/>
      <c r="BO253" s="642"/>
      <c r="BP253" s="642"/>
      <c r="BQ253" s="642"/>
      <c r="BR253" s="642"/>
      <c r="BS253" s="642"/>
      <c r="BT253" s="642"/>
      <c r="BU253" s="642"/>
      <c r="BV253" s="642"/>
      <c r="BW253" s="642"/>
      <c r="BX253" s="642"/>
      <c r="BY253" s="642"/>
      <c r="BZ253" s="642"/>
      <c r="CA253" s="642"/>
      <c r="CB253" s="642"/>
      <c r="CC253" s="642"/>
      <c r="CD253" s="642"/>
      <c r="CE253" s="642"/>
      <c r="CF253" s="642"/>
      <c r="CG253" s="642"/>
      <c r="CH253" s="642"/>
      <c r="CI253" s="642"/>
      <c r="CJ253" s="642"/>
      <c r="CK253" s="642"/>
      <c r="CL253" s="642"/>
      <c r="CM253" s="642"/>
      <c r="CN253" s="642"/>
      <c r="CO253" s="642"/>
      <c r="CP253" s="642"/>
      <c r="CQ253" s="642"/>
      <c r="CR253" s="642"/>
      <c r="CS253" s="642"/>
      <c r="CT253" s="642"/>
      <c r="CU253" s="642"/>
      <c r="CV253" s="642"/>
      <c r="CW253" s="642"/>
      <c r="CX253" s="642"/>
      <c r="CY253" s="642"/>
      <c r="CZ253" s="642"/>
      <c r="DA253" s="642"/>
      <c r="DB253" s="642"/>
      <c r="DC253" s="642"/>
      <c r="DD253" s="642"/>
      <c r="DE253" s="642"/>
      <c r="DF253" s="642"/>
      <c r="DG253" s="642"/>
      <c r="DH253" s="642"/>
      <c r="DI253" s="642"/>
      <c r="DJ253" s="642"/>
      <c r="DK253" s="642"/>
      <c r="DL253" s="642"/>
      <c r="DM253" s="642"/>
      <c r="DN253" s="642"/>
      <c r="DO253" s="642"/>
      <c r="DP253" s="642"/>
      <c r="DQ253" s="642"/>
      <c r="DR253" s="642"/>
      <c r="DS253" s="642"/>
      <c r="DT253" s="642"/>
      <c r="DU253" s="642"/>
    </row>
    <row r="254" spans="1:125" s="600" customFormat="1">
      <c r="A254" s="957" t="s">
        <v>1413</v>
      </c>
      <c r="B254" s="967" t="s">
        <v>570</v>
      </c>
      <c r="C254" s="1424" t="s">
        <v>434</v>
      </c>
      <c r="D254" s="737" t="s">
        <v>11</v>
      </c>
      <c r="E254" s="782"/>
      <c r="F254" s="782"/>
      <c r="G254" s="782"/>
      <c r="H254" s="968">
        <v>614</v>
      </c>
      <c r="I254" s="968"/>
      <c r="J254" s="968">
        <v>279</v>
      </c>
      <c r="K254" s="968">
        <v>1734</v>
      </c>
      <c r="L254" s="968"/>
      <c r="M254" s="968"/>
      <c r="N254" s="774">
        <f>SUM(E254:M254)</f>
        <v>2627</v>
      </c>
      <c r="O254" s="771"/>
      <c r="P254" s="711">
        <f t="shared" si="28"/>
        <v>0</v>
      </c>
      <c r="Q254" s="642"/>
      <c r="R254" s="642"/>
      <c r="S254" s="642"/>
      <c r="T254" s="642"/>
      <c r="U254" s="642"/>
      <c r="V254" s="642"/>
      <c r="W254" s="642"/>
      <c r="X254" s="642"/>
      <c r="Y254" s="642"/>
      <c r="Z254" s="642"/>
      <c r="AA254" s="642"/>
      <c r="AB254" s="642"/>
      <c r="AC254" s="642"/>
      <c r="AD254" s="642"/>
      <c r="AE254" s="642"/>
      <c r="AF254" s="642"/>
      <c r="AG254" s="642"/>
      <c r="AH254" s="642"/>
      <c r="AI254" s="642"/>
      <c r="AJ254" s="642"/>
      <c r="AK254" s="642"/>
      <c r="AL254" s="642"/>
      <c r="AM254" s="642"/>
      <c r="AN254" s="642"/>
      <c r="AO254" s="642"/>
      <c r="AP254" s="642"/>
      <c r="AQ254" s="642"/>
      <c r="AR254" s="642"/>
      <c r="AS254" s="642"/>
      <c r="AT254" s="642"/>
      <c r="AU254" s="642"/>
      <c r="AV254" s="642"/>
      <c r="AW254" s="642"/>
      <c r="AX254" s="642"/>
      <c r="AY254" s="642"/>
      <c r="AZ254" s="642"/>
      <c r="BA254" s="642"/>
      <c r="BB254" s="642"/>
      <c r="BC254" s="642"/>
      <c r="BD254" s="642"/>
      <c r="BE254" s="642"/>
      <c r="BF254" s="642"/>
      <c r="BG254" s="642"/>
      <c r="BH254" s="642"/>
      <c r="BI254" s="642"/>
      <c r="BJ254" s="642"/>
      <c r="BK254" s="642"/>
      <c r="BL254" s="642"/>
      <c r="BM254" s="642"/>
      <c r="BN254" s="642"/>
      <c r="BO254" s="642"/>
      <c r="BP254" s="642"/>
      <c r="BQ254" s="642"/>
      <c r="BR254" s="642"/>
      <c r="BS254" s="642"/>
      <c r="BT254" s="642"/>
      <c r="BU254" s="642"/>
      <c r="BV254" s="642"/>
      <c r="BW254" s="642"/>
      <c r="BX254" s="642"/>
      <c r="BY254" s="642"/>
      <c r="BZ254" s="642"/>
      <c r="CA254" s="642"/>
      <c r="CB254" s="642"/>
      <c r="CC254" s="642"/>
      <c r="CD254" s="642"/>
      <c r="CE254" s="642"/>
      <c r="CF254" s="642"/>
      <c r="CG254" s="642"/>
      <c r="CH254" s="642"/>
      <c r="CI254" s="642"/>
      <c r="CJ254" s="642"/>
      <c r="CK254" s="642"/>
      <c r="CL254" s="642"/>
      <c r="CM254" s="642"/>
      <c r="CN254" s="642"/>
      <c r="CO254" s="642"/>
      <c r="CP254" s="642"/>
      <c r="CQ254" s="642"/>
      <c r="CR254" s="642"/>
      <c r="CS254" s="642"/>
      <c r="CT254" s="642"/>
      <c r="CU254" s="642"/>
      <c r="CV254" s="642"/>
      <c r="CW254" s="642"/>
      <c r="CX254" s="642"/>
      <c r="CY254" s="642"/>
      <c r="CZ254" s="642"/>
      <c r="DA254" s="642"/>
      <c r="DB254" s="642"/>
      <c r="DC254" s="642"/>
      <c r="DD254" s="642"/>
      <c r="DE254" s="642"/>
      <c r="DF254" s="642"/>
      <c r="DG254" s="642"/>
      <c r="DH254" s="642"/>
      <c r="DI254" s="642"/>
      <c r="DJ254" s="642"/>
      <c r="DK254" s="642"/>
      <c r="DL254" s="642"/>
      <c r="DM254" s="642"/>
      <c r="DN254" s="642"/>
      <c r="DO254" s="642"/>
      <c r="DP254" s="642"/>
      <c r="DQ254" s="642"/>
      <c r="DR254" s="642"/>
      <c r="DS254" s="642"/>
      <c r="DT254" s="642"/>
      <c r="DU254" s="642"/>
    </row>
    <row r="255" spans="1:125" s="600" customFormat="1">
      <c r="A255" s="957" t="s">
        <v>1414</v>
      </c>
      <c r="B255" s="967" t="s">
        <v>620</v>
      </c>
      <c r="C255" s="1424" t="s">
        <v>434</v>
      </c>
      <c r="D255" s="737" t="s">
        <v>11</v>
      </c>
      <c r="E255" s="782"/>
      <c r="F255" s="782"/>
      <c r="G255" s="782"/>
      <c r="H255" s="968"/>
      <c r="I255" s="968"/>
      <c r="J255" s="968"/>
      <c r="K255" s="968"/>
      <c r="L255" s="968">
        <v>482</v>
      </c>
      <c r="M255" s="968"/>
      <c r="N255" s="774">
        <f>SUM(E255:M255)</f>
        <v>482</v>
      </c>
      <c r="O255" s="771"/>
      <c r="P255" s="711">
        <f t="shared" si="28"/>
        <v>0</v>
      </c>
      <c r="Q255" s="642"/>
      <c r="R255" s="642"/>
      <c r="S255" s="642"/>
      <c r="T255" s="642"/>
      <c r="U255" s="642"/>
      <c r="V255" s="642"/>
      <c r="W255" s="642"/>
      <c r="X255" s="642"/>
      <c r="Y255" s="642"/>
      <c r="Z255" s="642"/>
      <c r="AA255" s="642"/>
      <c r="AB255" s="642"/>
      <c r="AC255" s="642"/>
      <c r="AD255" s="642"/>
      <c r="AE255" s="642"/>
      <c r="AF255" s="642"/>
      <c r="AG255" s="642"/>
      <c r="AH255" s="642"/>
      <c r="AI255" s="642"/>
      <c r="AJ255" s="642"/>
      <c r="AK255" s="642"/>
      <c r="AL255" s="642"/>
      <c r="AM255" s="642"/>
      <c r="AN255" s="642"/>
      <c r="AO255" s="642"/>
      <c r="AP255" s="642"/>
      <c r="AQ255" s="642"/>
      <c r="AR255" s="642"/>
      <c r="AS255" s="642"/>
      <c r="AT255" s="642"/>
      <c r="AU255" s="642"/>
      <c r="AV255" s="642"/>
      <c r="AW255" s="642"/>
      <c r="AX255" s="642"/>
      <c r="AY255" s="642"/>
      <c r="AZ255" s="642"/>
      <c r="BA255" s="642"/>
      <c r="BB255" s="642"/>
      <c r="BC255" s="642"/>
      <c r="BD255" s="642"/>
      <c r="BE255" s="642"/>
      <c r="BF255" s="642"/>
      <c r="BG255" s="642"/>
      <c r="BH255" s="642"/>
      <c r="BI255" s="642"/>
      <c r="BJ255" s="642"/>
      <c r="BK255" s="642"/>
      <c r="BL255" s="642"/>
      <c r="BM255" s="642"/>
      <c r="BN255" s="642"/>
      <c r="BO255" s="642"/>
      <c r="BP255" s="642"/>
      <c r="BQ255" s="642"/>
      <c r="BR255" s="642"/>
      <c r="BS255" s="642"/>
      <c r="BT255" s="642"/>
      <c r="BU255" s="642"/>
      <c r="BV255" s="642"/>
      <c r="BW255" s="642"/>
      <c r="BX255" s="642"/>
      <c r="BY255" s="642"/>
      <c r="BZ255" s="642"/>
      <c r="CA255" s="642"/>
      <c r="CB255" s="642"/>
      <c r="CC255" s="642"/>
      <c r="CD255" s="642"/>
      <c r="CE255" s="642"/>
      <c r="CF255" s="642"/>
      <c r="CG255" s="642"/>
      <c r="CH255" s="642"/>
      <c r="CI255" s="642"/>
      <c r="CJ255" s="642"/>
      <c r="CK255" s="642"/>
      <c r="CL255" s="642"/>
      <c r="CM255" s="642"/>
      <c r="CN255" s="642"/>
      <c r="CO255" s="642"/>
      <c r="CP255" s="642"/>
      <c r="CQ255" s="642"/>
      <c r="CR255" s="642"/>
      <c r="CS255" s="642"/>
      <c r="CT255" s="642"/>
      <c r="CU255" s="642"/>
      <c r="CV255" s="642"/>
      <c r="CW255" s="642"/>
      <c r="CX255" s="642"/>
      <c r="CY255" s="642"/>
      <c r="CZ255" s="642"/>
      <c r="DA255" s="642"/>
      <c r="DB255" s="642"/>
      <c r="DC255" s="642"/>
      <c r="DD255" s="642"/>
      <c r="DE255" s="642"/>
      <c r="DF255" s="642"/>
      <c r="DG255" s="642"/>
      <c r="DH255" s="642"/>
      <c r="DI255" s="642"/>
      <c r="DJ255" s="642"/>
      <c r="DK255" s="642"/>
      <c r="DL255" s="642"/>
      <c r="DM255" s="642"/>
      <c r="DN255" s="642"/>
      <c r="DO255" s="642"/>
      <c r="DP255" s="642"/>
      <c r="DQ255" s="642"/>
      <c r="DR255" s="642"/>
      <c r="DS255" s="642"/>
      <c r="DT255" s="642"/>
      <c r="DU255" s="642"/>
    </row>
    <row r="256" spans="1:125" s="600" customFormat="1">
      <c r="A256" s="955" t="s">
        <v>2354</v>
      </c>
      <c r="B256" s="1064" t="s">
        <v>2355</v>
      </c>
      <c r="C256" s="1425" t="s">
        <v>2356</v>
      </c>
      <c r="D256" s="702" t="s">
        <v>11</v>
      </c>
      <c r="E256" s="782"/>
      <c r="F256" s="782"/>
      <c r="G256" s="782"/>
      <c r="H256" s="968"/>
      <c r="I256" s="968"/>
      <c r="J256" s="968"/>
      <c r="K256" s="968"/>
      <c r="L256" s="968"/>
      <c r="M256" s="968"/>
      <c r="N256" s="774"/>
      <c r="O256" s="775"/>
      <c r="P256" s="711"/>
      <c r="Q256" s="642"/>
      <c r="R256" s="642"/>
      <c r="S256" s="642"/>
      <c r="T256" s="642"/>
      <c r="U256" s="642"/>
      <c r="V256" s="642"/>
      <c r="W256" s="642"/>
      <c r="X256" s="642"/>
      <c r="Y256" s="642"/>
      <c r="Z256" s="642"/>
      <c r="AA256" s="642"/>
      <c r="AB256" s="642"/>
      <c r="AC256" s="642"/>
      <c r="AD256" s="642"/>
      <c r="AE256" s="642"/>
      <c r="AF256" s="642"/>
      <c r="AG256" s="642"/>
      <c r="AH256" s="642"/>
      <c r="AI256" s="642"/>
      <c r="AJ256" s="642"/>
      <c r="AK256" s="642"/>
      <c r="AL256" s="642"/>
      <c r="AM256" s="642"/>
      <c r="AN256" s="642"/>
      <c r="AO256" s="642"/>
      <c r="AP256" s="642"/>
      <c r="AQ256" s="642"/>
      <c r="AR256" s="642"/>
      <c r="AS256" s="642"/>
      <c r="AT256" s="642"/>
      <c r="AU256" s="642"/>
      <c r="AV256" s="642"/>
      <c r="AW256" s="642"/>
      <c r="AX256" s="642"/>
      <c r="AY256" s="642"/>
      <c r="AZ256" s="642"/>
      <c r="BA256" s="642"/>
      <c r="BB256" s="642"/>
      <c r="BC256" s="642"/>
      <c r="BD256" s="642"/>
      <c r="BE256" s="642"/>
      <c r="BF256" s="642"/>
      <c r="BG256" s="642"/>
      <c r="BH256" s="642"/>
      <c r="BI256" s="642"/>
      <c r="BJ256" s="642"/>
      <c r="BK256" s="642"/>
      <c r="BL256" s="642"/>
      <c r="BM256" s="642"/>
      <c r="BN256" s="642"/>
      <c r="BO256" s="642"/>
      <c r="BP256" s="642"/>
      <c r="BQ256" s="642"/>
      <c r="BR256" s="642"/>
      <c r="BS256" s="642"/>
      <c r="BT256" s="642"/>
      <c r="BU256" s="642"/>
      <c r="BV256" s="642"/>
      <c r="BW256" s="642"/>
      <c r="BX256" s="642"/>
      <c r="BY256" s="642"/>
      <c r="BZ256" s="642"/>
      <c r="CA256" s="642"/>
      <c r="CB256" s="642"/>
      <c r="CC256" s="642"/>
      <c r="CD256" s="642"/>
      <c r="CE256" s="642"/>
      <c r="CF256" s="642"/>
      <c r="CG256" s="642"/>
      <c r="CH256" s="642"/>
      <c r="CI256" s="642"/>
      <c r="CJ256" s="642"/>
      <c r="CK256" s="642"/>
      <c r="CL256" s="642"/>
      <c r="CM256" s="642"/>
      <c r="CN256" s="642"/>
      <c r="CO256" s="642"/>
      <c r="CP256" s="642"/>
      <c r="CQ256" s="642"/>
      <c r="CR256" s="642"/>
      <c r="CS256" s="642"/>
      <c r="CT256" s="642"/>
      <c r="CU256" s="642"/>
      <c r="CV256" s="642"/>
      <c r="CW256" s="642"/>
      <c r="CX256" s="642"/>
      <c r="CY256" s="642"/>
      <c r="CZ256" s="642"/>
      <c r="DA256" s="642"/>
      <c r="DB256" s="642"/>
      <c r="DC256" s="642"/>
      <c r="DD256" s="642"/>
      <c r="DE256" s="642"/>
      <c r="DF256" s="642"/>
      <c r="DG256" s="642"/>
      <c r="DH256" s="642"/>
      <c r="DI256" s="642"/>
      <c r="DJ256" s="642"/>
      <c r="DK256" s="642"/>
      <c r="DL256" s="642"/>
      <c r="DM256" s="642"/>
      <c r="DN256" s="642"/>
      <c r="DO256" s="642"/>
      <c r="DP256" s="642"/>
      <c r="DQ256" s="642"/>
      <c r="DR256" s="642"/>
      <c r="DS256" s="642"/>
      <c r="DT256" s="642"/>
      <c r="DU256" s="642"/>
    </row>
    <row r="257" spans="1:125" s="600" customFormat="1">
      <c r="A257" s="957" t="s">
        <v>2360</v>
      </c>
      <c r="B257" s="964" t="s">
        <v>2357</v>
      </c>
      <c r="C257" s="1424"/>
      <c r="D257" s="737" t="s">
        <v>2359</v>
      </c>
      <c r="E257" s="782"/>
      <c r="F257" s="782"/>
      <c r="G257" s="782">
        <v>10</v>
      </c>
      <c r="H257" s="968"/>
      <c r="I257" s="968"/>
      <c r="J257" s="968">
        <v>10</v>
      </c>
      <c r="K257" s="968"/>
      <c r="L257" s="968">
        <v>10</v>
      </c>
      <c r="M257" s="968">
        <v>10</v>
      </c>
      <c r="N257" s="1363">
        <f>SUM(E257:M257)</f>
        <v>40</v>
      </c>
      <c r="O257" s="1362"/>
      <c r="P257" s="1347">
        <f t="shared" ref="P257:P258" si="29">N257*O257</f>
        <v>0</v>
      </c>
      <c r="Q257" s="642"/>
      <c r="R257" s="642"/>
      <c r="S257" s="642"/>
      <c r="T257" s="642"/>
      <c r="U257" s="642"/>
      <c r="V257" s="642"/>
      <c r="W257" s="642"/>
      <c r="X257" s="642"/>
      <c r="Y257" s="642"/>
      <c r="Z257" s="642"/>
      <c r="AA257" s="642"/>
      <c r="AB257" s="642"/>
      <c r="AC257" s="642"/>
      <c r="AD257" s="642"/>
      <c r="AE257" s="642"/>
      <c r="AF257" s="642"/>
      <c r="AG257" s="642"/>
      <c r="AH257" s="642"/>
      <c r="AI257" s="642"/>
      <c r="AJ257" s="642"/>
      <c r="AK257" s="642"/>
      <c r="AL257" s="642"/>
      <c r="AM257" s="642"/>
      <c r="AN257" s="642"/>
      <c r="AO257" s="642"/>
      <c r="AP257" s="642"/>
      <c r="AQ257" s="642"/>
      <c r="AR257" s="642"/>
      <c r="AS257" s="642"/>
      <c r="AT257" s="642"/>
      <c r="AU257" s="642"/>
      <c r="AV257" s="642"/>
      <c r="AW257" s="642"/>
      <c r="AX257" s="642"/>
      <c r="AY257" s="642"/>
      <c r="AZ257" s="642"/>
      <c r="BA257" s="642"/>
      <c r="BB257" s="642"/>
      <c r="BC257" s="642"/>
      <c r="BD257" s="642"/>
      <c r="BE257" s="642"/>
      <c r="BF257" s="642"/>
      <c r="BG257" s="642"/>
      <c r="BH257" s="642"/>
      <c r="BI257" s="642"/>
      <c r="BJ257" s="642"/>
      <c r="BK257" s="642"/>
      <c r="BL257" s="642"/>
      <c r="BM257" s="642"/>
      <c r="BN257" s="642"/>
      <c r="BO257" s="642"/>
      <c r="BP257" s="642"/>
      <c r="BQ257" s="642"/>
      <c r="BR257" s="642"/>
      <c r="BS257" s="642"/>
      <c r="BT257" s="642"/>
      <c r="BU257" s="642"/>
      <c r="BV257" s="642"/>
      <c r="BW257" s="642"/>
      <c r="BX257" s="642"/>
      <c r="BY257" s="642"/>
      <c r="BZ257" s="642"/>
      <c r="CA257" s="642"/>
      <c r="CB257" s="642"/>
      <c r="CC257" s="642"/>
      <c r="CD257" s="642"/>
      <c r="CE257" s="642"/>
      <c r="CF257" s="642"/>
      <c r="CG257" s="642"/>
      <c r="CH257" s="642"/>
      <c r="CI257" s="642"/>
      <c r="CJ257" s="642"/>
      <c r="CK257" s="642"/>
      <c r="CL257" s="642"/>
      <c r="CM257" s="642"/>
      <c r="CN257" s="642"/>
      <c r="CO257" s="642"/>
      <c r="CP257" s="642"/>
      <c r="CQ257" s="642"/>
      <c r="CR257" s="642"/>
      <c r="CS257" s="642"/>
      <c r="CT257" s="642"/>
      <c r="CU257" s="642"/>
      <c r="CV257" s="642"/>
      <c r="CW257" s="642"/>
      <c r="CX257" s="642"/>
      <c r="CY257" s="642"/>
      <c r="CZ257" s="642"/>
      <c r="DA257" s="642"/>
      <c r="DB257" s="642"/>
      <c r="DC257" s="642"/>
      <c r="DD257" s="642"/>
      <c r="DE257" s="642"/>
      <c r="DF257" s="642"/>
      <c r="DG257" s="642"/>
      <c r="DH257" s="642"/>
      <c r="DI257" s="642"/>
      <c r="DJ257" s="642"/>
      <c r="DK257" s="642"/>
      <c r="DL257" s="642"/>
      <c r="DM257" s="642"/>
      <c r="DN257" s="642"/>
      <c r="DO257" s="642"/>
      <c r="DP257" s="642"/>
      <c r="DQ257" s="642"/>
      <c r="DR257" s="642"/>
      <c r="DS257" s="642"/>
      <c r="DT257" s="642"/>
      <c r="DU257" s="642"/>
    </row>
    <row r="258" spans="1:125" s="600" customFormat="1">
      <c r="A258" s="957" t="s">
        <v>2361</v>
      </c>
      <c r="B258" s="964" t="s">
        <v>2358</v>
      </c>
      <c r="C258" s="1424"/>
      <c r="D258" s="737" t="s">
        <v>2359</v>
      </c>
      <c r="E258" s="782"/>
      <c r="F258" s="782"/>
      <c r="G258" s="782">
        <v>10</v>
      </c>
      <c r="H258" s="968"/>
      <c r="I258" s="968"/>
      <c r="J258" s="968">
        <v>10</v>
      </c>
      <c r="K258" s="968"/>
      <c r="L258" s="968">
        <v>10</v>
      </c>
      <c r="M258" s="968">
        <v>10</v>
      </c>
      <c r="N258" s="1363">
        <f>SUM(E258:M258)</f>
        <v>40</v>
      </c>
      <c r="O258" s="1362"/>
      <c r="P258" s="1347">
        <f t="shared" si="29"/>
        <v>0</v>
      </c>
      <c r="Q258" s="642"/>
      <c r="R258" s="642"/>
      <c r="S258" s="642"/>
      <c r="T258" s="642"/>
      <c r="U258" s="642"/>
      <c r="V258" s="642"/>
      <c r="W258" s="642"/>
      <c r="X258" s="642"/>
      <c r="Y258" s="642"/>
      <c r="Z258" s="642"/>
      <c r="AA258" s="642"/>
      <c r="AB258" s="642"/>
      <c r="AC258" s="642"/>
      <c r="AD258" s="642"/>
      <c r="AE258" s="642"/>
      <c r="AF258" s="642"/>
      <c r="AG258" s="642"/>
      <c r="AH258" s="642"/>
      <c r="AI258" s="642"/>
      <c r="AJ258" s="642"/>
      <c r="AK258" s="642"/>
      <c r="AL258" s="642"/>
      <c r="AM258" s="642"/>
      <c r="AN258" s="642"/>
      <c r="AO258" s="642"/>
      <c r="AP258" s="642"/>
      <c r="AQ258" s="642"/>
      <c r="AR258" s="642"/>
      <c r="AS258" s="642"/>
      <c r="AT258" s="642"/>
      <c r="AU258" s="642"/>
      <c r="AV258" s="642"/>
      <c r="AW258" s="642"/>
      <c r="AX258" s="642"/>
      <c r="AY258" s="642"/>
      <c r="AZ258" s="642"/>
      <c r="BA258" s="642"/>
      <c r="BB258" s="642"/>
      <c r="BC258" s="642"/>
      <c r="BD258" s="642"/>
      <c r="BE258" s="642"/>
      <c r="BF258" s="642"/>
      <c r="BG258" s="642"/>
      <c r="BH258" s="642"/>
      <c r="BI258" s="642"/>
      <c r="BJ258" s="642"/>
      <c r="BK258" s="642"/>
      <c r="BL258" s="642"/>
      <c r="BM258" s="642"/>
      <c r="BN258" s="642"/>
      <c r="BO258" s="642"/>
      <c r="BP258" s="642"/>
      <c r="BQ258" s="642"/>
      <c r="BR258" s="642"/>
      <c r="BS258" s="642"/>
      <c r="BT258" s="642"/>
      <c r="BU258" s="642"/>
      <c r="BV258" s="642"/>
      <c r="BW258" s="642"/>
      <c r="BX258" s="642"/>
      <c r="BY258" s="642"/>
      <c r="BZ258" s="642"/>
      <c r="CA258" s="642"/>
      <c r="CB258" s="642"/>
      <c r="CC258" s="642"/>
      <c r="CD258" s="642"/>
      <c r="CE258" s="642"/>
      <c r="CF258" s="642"/>
      <c r="CG258" s="642"/>
      <c r="CH258" s="642"/>
      <c r="CI258" s="642"/>
      <c r="CJ258" s="642"/>
      <c r="CK258" s="642"/>
      <c r="CL258" s="642"/>
      <c r="CM258" s="642"/>
      <c r="CN258" s="642"/>
      <c r="CO258" s="642"/>
      <c r="CP258" s="642"/>
      <c r="CQ258" s="642"/>
      <c r="CR258" s="642"/>
      <c r="CS258" s="642"/>
      <c r="CT258" s="642"/>
      <c r="CU258" s="642"/>
      <c r="CV258" s="642"/>
      <c r="CW258" s="642"/>
      <c r="CX258" s="642"/>
      <c r="CY258" s="642"/>
      <c r="CZ258" s="642"/>
      <c r="DA258" s="642"/>
      <c r="DB258" s="642"/>
      <c r="DC258" s="642"/>
      <c r="DD258" s="642"/>
      <c r="DE258" s="642"/>
      <c r="DF258" s="642"/>
      <c r="DG258" s="642"/>
      <c r="DH258" s="642"/>
      <c r="DI258" s="642"/>
      <c r="DJ258" s="642"/>
      <c r="DK258" s="642"/>
      <c r="DL258" s="642"/>
      <c r="DM258" s="642"/>
      <c r="DN258" s="642"/>
      <c r="DO258" s="642"/>
      <c r="DP258" s="642"/>
      <c r="DQ258" s="642"/>
      <c r="DR258" s="642"/>
      <c r="DS258" s="642"/>
      <c r="DT258" s="642"/>
      <c r="DU258" s="642"/>
    </row>
    <row r="259" spans="1:125" s="642" customFormat="1">
      <c r="A259" s="959"/>
      <c r="B259" s="685"/>
      <c r="C259" s="1426"/>
      <c r="D259" s="950"/>
      <c r="E259" s="674"/>
      <c r="F259" s="674"/>
      <c r="G259" s="674"/>
      <c r="H259" s="671"/>
      <c r="I259" s="671"/>
      <c r="J259" s="671"/>
      <c r="K259" s="671"/>
      <c r="L259" s="671"/>
      <c r="M259" s="671"/>
      <c r="P259" s="672"/>
    </row>
    <row r="260" spans="1:125" s="642" customFormat="1">
      <c r="A260" s="959"/>
      <c r="B260" s="685"/>
      <c r="C260" s="1426"/>
      <c r="D260" s="950"/>
      <c r="E260" s="674"/>
      <c r="F260" s="674"/>
      <c r="G260" s="674"/>
      <c r="H260" s="671"/>
      <c r="I260" s="671"/>
      <c r="J260" s="671"/>
      <c r="K260" s="671"/>
      <c r="L260" s="671"/>
      <c r="M260" s="671"/>
      <c r="P260" s="672"/>
    </row>
    <row r="261" spans="1:125" s="642" customFormat="1">
      <c r="A261" s="959"/>
      <c r="B261" s="685"/>
      <c r="C261" s="1426"/>
      <c r="D261" s="950"/>
      <c r="E261" s="674"/>
      <c r="F261" s="674"/>
      <c r="G261" s="674"/>
      <c r="H261" s="671"/>
      <c r="I261" s="671"/>
      <c r="J261" s="671"/>
      <c r="K261" s="671"/>
      <c r="L261" s="671"/>
      <c r="M261" s="671"/>
      <c r="P261" s="672"/>
    </row>
    <row r="262" spans="1:125" s="642" customFormat="1">
      <c r="A262" s="959"/>
      <c r="B262" s="685"/>
      <c r="C262" s="1426"/>
      <c r="D262" s="950"/>
      <c r="E262" s="674"/>
      <c r="F262" s="674"/>
      <c r="G262" s="674"/>
      <c r="H262" s="671"/>
      <c r="I262" s="671"/>
      <c r="J262" s="671"/>
      <c r="K262" s="671"/>
      <c r="L262" s="671"/>
      <c r="M262" s="671"/>
      <c r="P262" s="672"/>
    </row>
    <row r="263" spans="1:125" s="642" customFormat="1">
      <c r="A263" s="959"/>
      <c r="B263" s="685"/>
      <c r="C263" s="1426"/>
      <c r="D263" s="950"/>
      <c r="E263" s="674"/>
      <c r="F263" s="674"/>
      <c r="G263" s="674"/>
      <c r="H263" s="671"/>
      <c r="I263" s="671"/>
      <c r="J263" s="671"/>
      <c r="K263" s="671"/>
      <c r="L263" s="671"/>
      <c r="M263" s="671"/>
      <c r="P263" s="672"/>
    </row>
    <row r="264" spans="1:125" s="642" customFormat="1">
      <c r="A264" s="959"/>
      <c r="B264" s="685"/>
      <c r="C264" s="1426"/>
      <c r="D264" s="950"/>
      <c r="E264" s="674"/>
      <c r="F264" s="674"/>
      <c r="G264" s="674"/>
      <c r="H264" s="671"/>
      <c r="I264" s="671"/>
      <c r="J264" s="671"/>
      <c r="K264" s="671"/>
      <c r="L264" s="671"/>
      <c r="M264" s="671"/>
      <c r="P264" s="672"/>
    </row>
    <row r="265" spans="1:125" s="642" customFormat="1">
      <c r="A265" s="959"/>
      <c r="B265" s="685"/>
      <c r="C265" s="1426"/>
      <c r="D265" s="950"/>
      <c r="E265" s="674"/>
      <c r="F265" s="674"/>
      <c r="G265" s="674"/>
      <c r="H265" s="671"/>
      <c r="I265" s="671"/>
      <c r="J265" s="671"/>
      <c r="K265" s="671"/>
      <c r="L265" s="671"/>
      <c r="M265" s="671"/>
      <c r="P265" s="672"/>
    </row>
    <row r="266" spans="1:125" s="642" customFormat="1">
      <c r="A266" s="959"/>
      <c r="B266" s="685"/>
      <c r="C266" s="1426"/>
      <c r="D266" s="950"/>
      <c r="E266" s="674"/>
      <c r="F266" s="674"/>
      <c r="G266" s="674"/>
      <c r="H266" s="671"/>
      <c r="I266" s="671"/>
      <c r="J266" s="671"/>
      <c r="K266" s="671"/>
      <c r="L266" s="671"/>
      <c r="M266" s="671"/>
      <c r="P266" s="672"/>
    </row>
    <row r="267" spans="1:125" s="642" customFormat="1">
      <c r="A267" s="959"/>
      <c r="B267" s="685"/>
      <c r="C267" s="1426"/>
      <c r="D267" s="950"/>
      <c r="E267" s="674"/>
      <c r="F267" s="674"/>
      <c r="G267" s="674"/>
      <c r="H267" s="671"/>
      <c r="I267" s="671"/>
      <c r="J267" s="671"/>
      <c r="K267" s="671"/>
      <c r="L267" s="671"/>
      <c r="M267" s="671"/>
      <c r="P267" s="672"/>
    </row>
    <row r="268" spans="1:125" s="642" customFormat="1">
      <c r="A268" s="959"/>
      <c r="B268" s="685"/>
      <c r="C268" s="1426"/>
      <c r="D268" s="950"/>
      <c r="E268" s="674"/>
      <c r="F268" s="674"/>
      <c r="G268" s="674"/>
      <c r="H268" s="671"/>
      <c r="I268" s="671"/>
      <c r="J268" s="671"/>
      <c r="K268" s="671"/>
      <c r="L268" s="671"/>
      <c r="M268" s="671"/>
      <c r="P268" s="672"/>
    </row>
    <row r="269" spans="1:125" s="642" customFormat="1">
      <c r="A269" s="959"/>
      <c r="B269" s="685"/>
      <c r="C269" s="1426"/>
      <c r="D269" s="950"/>
      <c r="E269" s="674"/>
      <c r="F269" s="674"/>
      <c r="G269" s="674"/>
      <c r="H269" s="671"/>
      <c r="I269" s="671"/>
      <c r="J269" s="671"/>
      <c r="K269" s="671"/>
      <c r="L269" s="671"/>
      <c r="M269" s="671"/>
      <c r="P269" s="672"/>
    </row>
    <row r="270" spans="1:125" s="642" customFormat="1">
      <c r="A270" s="959"/>
      <c r="B270" s="685"/>
      <c r="C270" s="1426"/>
      <c r="D270" s="950"/>
      <c r="E270" s="674"/>
      <c r="F270" s="674"/>
      <c r="G270" s="674"/>
      <c r="H270" s="671"/>
      <c r="I270" s="671"/>
      <c r="J270" s="671"/>
      <c r="K270" s="671"/>
      <c r="L270" s="671"/>
      <c r="M270" s="671"/>
      <c r="P270" s="672"/>
    </row>
    <row r="271" spans="1:125" s="642" customFormat="1">
      <c r="A271" s="959"/>
      <c r="B271" s="685"/>
      <c r="C271" s="1426"/>
      <c r="D271" s="950"/>
      <c r="E271" s="674"/>
      <c r="F271" s="674"/>
      <c r="G271" s="674"/>
      <c r="H271" s="671"/>
      <c r="I271" s="671"/>
      <c r="J271" s="671"/>
      <c r="K271" s="671"/>
      <c r="L271" s="671"/>
      <c r="M271" s="671"/>
      <c r="P271" s="672"/>
    </row>
    <row r="272" spans="1:125" s="642" customFormat="1">
      <c r="A272" s="959"/>
      <c r="B272" s="685"/>
      <c r="C272" s="1426"/>
      <c r="D272" s="950"/>
      <c r="E272" s="674"/>
      <c r="F272" s="674"/>
      <c r="G272" s="674"/>
      <c r="H272" s="671"/>
      <c r="I272" s="671"/>
      <c r="J272" s="671"/>
      <c r="K272" s="671"/>
      <c r="L272" s="671"/>
      <c r="M272" s="671"/>
      <c r="P272" s="672"/>
    </row>
    <row r="273" spans="1:16" s="642" customFormat="1">
      <c r="A273" s="959"/>
      <c r="B273" s="685"/>
      <c r="C273" s="1426"/>
      <c r="D273" s="950"/>
      <c r="E273" s="674"/>
      <c r="F273" s="674"/>
      <c r="G273" s="674"/>
      <c r="H273" s="671"/>
      <c r="I273" s="671"/>
      <c r="J273" s="671"/>
      <c r="K273" s="671"/>
      <c r="L273" s="671"/>
      <c r="M273" s="671"/>
      <c r="P273" s="672"/>
    </row>
    <row r="274" spans="1:16" s="642" customFormat="1">
      <c r="A274" s="959"/>
      <c r="B274" s="685"/>
      <c r="C274" s="1426"/>
      <c r="D274" s="950"/>
      <c r="E274" s="674"/>
      <c r="F274" s="674"/>
      <c r="G274" s="674"/>
      <c r="H274" s="671"/>
      <c r="I274" s="671"/>
      <c r="J274" s="671"/>
      <c r="K274" s="671"/>
      <c r="L274" s="671"/>
      <c r="M274" s="671"/>
      <c r="P274" s="672"/>
    </row>
    <row r="275" spans="1:16" s="642" customFormat="1">
      <c r="A275" s="959"/>
      <c r="B275" s="685"/>
      <c r="C275" s="1426"/>
      <c r="D275" s="950"/>
      <c r="E275" s="674"/>
      <c r="F275" s="674"/>
      <c r="G275" s="674"/>
      <c r="H275" s="671"/>
      <c r="I275" s="671"/>
      <c r="J275" s="671"/>
      <c r="K275" s="671"/>
      <c r="L275" s="671"/>
      <c r="M275" s="671"/>
      <c r="P275" s="672"/>
    </row>
    <row r="276" spans="1:16" s="642" customFormat="1">
      <c r="A276" s="959"/>
      <c r="B276" s="685"/>
      <c r="C276" s="1426"/>
      <c r="D276" s="950"/>
      <c r="E276" s="674"/>
      <c r="F276" s="674"/>
      <c r="G276" s="674"/>
      <c r="H276" s="671"/>
      <c r="I276" s="671"/>
      <c r="J276" s="671"/>
      <c r="K276" s="671"/>
      <c r="L276" s="671"/>
      <c r="M276" s="671"/>
      <c r="P276" s="672"/>
    </row>
    <row r="277" spans="1:16" s="642" customFormat="1">
      <c r="A277" s="959"/>
      <c r="B277" s="685"/>
      <c r="C277" s="1426"/>
      <c r="D277" s="950"/>
      <c r="E277" s="674"/>
      <c r="F277" s="674"/>
      <c r="G277" s="674"/>
      <c r="H277" s="671"/>
      <c r="I277" s="671"/>
      <c r="J277" s="671"/>
      <c r="K277" s="671"/>
      <c r="L277" s="671"/>
      <c r="M277" s="671"/>
      <c r="P277" s="672"/>
    </row>
    <row r="278" spans="1:16" s="642" customFormat="1">
      <c r="A278" s="959"/>
      <c r="B278" s="685"/>
      <c r="C278" s="1426"/>
      <c r="D278" s="950"/>
      <c r="E278" s="674"/>
      <c r="F278" s="674"/>
      <c r="G278" s="674"/>
      <c r="H278" s="671"/>
      <c r="I278" s="671"/>
      <c r="J278" s="671"/>
      <c r="K278" s="671"/>
      <c r="L278" s="671"/>
      <c r="M278" s="671"/>
      <c r="P278" s="672"/>
    </row>
    <row r="279" spans="1:16" s="642" customFormat="1">
      <c r="A279" s="959"/>
      <c r="B279" s="685"/>
      <c r="C279" s="1426"/>
      <c r="D279" s="950"/>
      <c r="E279" s="674"/>
      <c r="F279" s="674"/>
      <c r="G279" s="674"/>
      <c r="H279" s="671"/>
      <c r="I279" s="671"/>
      <c r="J279" s="671"/>
      <c r="K279" s="671"/>
      <c r="L279" s="671"/>
      <c r="M279" s="671"/>
      <c r="P279" s="672"/>
    </row>
    <row r="280" spans="1:16" s="642" customFormat="1">
      <c r="A280" s="959"/>
      <c r="B280" s="685"/>
      <c r="C280" s="1426"/>
      <c r="D280" s="950"/>
      <c r="E280" s="674"/>
      <c r="F280" s="674"/>
      <c r="G280" s="674"/>
      <c r="H280" s="671"/>
      <c r="I280" s="671"/>
      <c r="J280" s="671"/>
      <c r="K280" s="671"/>
      <c r="L280" s="671"/>
      <c r="M280" s="671"/>
      <c r="P280" s="672"/>
    </row>
    <row r="281" spans="1:16" s="642" customFormat="1">
      <c r="A281" s="959"/>
      <c r="B281" s="685"/>
      <c r="C281" s="1426"/>
      <c r="D281" s="950"/>
      <c r="E281" s="674"/>
      <c r="F281" s="674"/>
      <c r="G281" s="674"/>
      <c r="H281" s="671"/>
      <c r="I281" s="671"/>
      <c r="J281" s="671"/>
      <c r="K281" s="671"/>
      <c r="L281" s="671"/>
      <c r="M281" s="671"/>
      <c r="P281" s="672"/>
    </row>
    <row r="282" spans="1:16" s="642" customFormat="1">
      <c r="A282" s="959"/>
      <c r="B282" s="685"/>
      <c r="C282" s="1426"/>
      <c r="D282" s="950"/>
      <c r="E282" s="674"/>
      <c r="F282" s="674"/>
      <c r="G282" s="674"/>
      <c r="H282" s="671"/>
      <c r="I282" s="671"/>
      <c r="J282" s="671"/>
      <c r="K282" s="671"/>
      <c r="L282" s="671"/>
      <c r="M282" s="671"/>
      <c r="P282" s="672"/>
    </row>
    <row r="283" spans="1:16" s="642" customFormat="1">
      <c r="A283" s="959"/>
      <c r="B283" s="685"/>
      <c r="C283" s="1426"/>
      <c r="D283" s="950"/>
      <c r="E283" s="674"/>
      <c r="F283" s="674"/>
      <c r="G283" s="674"/>
      <c r="H283" s="671"/>
      <c r="I283" s="671"/>
      <c r="J283" s="671"/>
      <c r="K283" s="671"/>
      <c r="L283" s="671"/>
      <c r="M283" s="671"/>
      <c r="P283" s="672"/>
    </row>
    <row r="284" spans="1:16" s="642" customFormat="1">
      <c r="A284" s="959"/>
      <c r="B284" s="685"/>
      <c r="C284" s="1426"/>
      <c r="D284" s="950"/>
      <c r="E284" s="674"/>
      <c r="F284" s="674"/>
      <c r="G284" s="674"/>
      <c r="H284" s="671"/>
      <c r="I284" s="671"/>
      <c r="J284" s="671"/>
      <c r="K284" s="671"/>
      <c r="L284" s="671"/>
      <c r="M284" s="671"/>
      <c r="P284" s="672"/>
    </row>
    <row r="285" spans="1:16" s="642" customFormat="1">
      <c r="A285" s="959"/>
      <c r="B285" s="685"/>
      <c r="C285" s="1426"/>
      <c r="D285" s="950"/>
      <c r="E285" s="674"/>
      <c r="F285" s="674"/>
      <c r="G285" s="674"/>
      <c r="H285" s="671"/>
      <c r="I285" s="671"/>
      <c r="J285" s="671"/>
      <c r="K285" s="671"/>
      <c r="L285" s="671"/>
      <c r="M285" s="671"/>
      <c r="P285" s="672"/>
    </row>
    <row r="286" spans="1:16" s="642" customFormat="1">
      <c r="A286" s="959"/>
      <c r="B286" s="685"/>
      <c r="C286" s="1426"/>
      <c r="D286" s="950"/>
      <c r="E286" s="674"/>
      <c r="F286" s="674"/>
      <c r="G286" s="674"/>
      <c r="H286" s="671"/>
      <c r="I286" s="671"/>
      <c r="J286" s="671"/>
      <c r="K286" s="671"/>
      <c r="L286" s="671"/>
      <c r="M286" s="671"/>
      <c r="P286" s="672"/>
    </row>
    <row r="287" spans="1:16" s="642" customFormat="1">
      <c r="A287" s="959"/>
      <c r="B287" s="685"/>
      <c r="C287" s="1426"/>
      <c r="D287" s="950"/>
      <c r="E287" s="674"/>
      <c r="F287" s="674"/>
      <c r="G287" s="674"/>
      <c r="H287" s="671"/>
      <c r="I287" s="671"/>
      <c r="J287" s="671"/>
      <c r="K287" s="671"/>
      <c r="L287" s="671"/>
      <c r="M287" s="671"/>
      <c r="P287" s="672"/>
    </row>
    <row r="288" spans="1:16" s="642" customFormat="1">
      <c r="A288" s="959"/>
      <c r="B288" s="685"/>
      <c r="C288" s="1426"/>
      <c r="D288" s="950"/>
      <c r="E288" s="674"/>
      <c r="F288" s="674"/>
      <c r="G288" s="674"/>
      <c r="H288" s="671"/>
      <c r="I288" s="671"/>
      <c r="J288" s="671"/>
      <c r="K288" s="671"/>
      <c r="L288" s="671"/>
      <c r="M288" s="671"/>
      <c r="P288" s="672"/>
    </row>
    <row r="289" spans="1:16" s="642" customFormat="1">
      <c r="A289" s="959"/>
      <c r="B289" s="685"/>
      <c r="C289" s="1426"/>
      <c r="D289" s="950"/>
      <c r="E289" s="674"/>
      <c r="F289" s="674"/>
      <c r="G289" s="674"/>
      <c r="H289" s="671"/>
      <c r="I289" s="671"/>
      <c r="J289" s="671"/>
      <c r="K289" s="671"/>
      <c r="L289" s="671"/>
      <c r="M289" s="671"/>
      <c r="P289" s="672"/>
    </row>
    <row r="290" spans="1:16" s="642" customFormat="1">
      <c r="A290" s="959"/>
      <c r="B290" s="685"/>
      <c r="C290" s="1426"/>
      <c r="D290" s="950"/>
      <c r="E290" s="674"/>
      <c r="F290" s="674"/>
      <c r="G290" s="674"/>
      <c r="H290" s="671"/>
      <c r="I290" s="671"/>
      <c r="J290" s="671"/>
      <c r="K290" s="671"/>
      <c r="L290" s="671"/>
      <c r="M290" s="671"/>
      <c r="P290" s="672"/>
    </row>
    <row r="291" spans="1:16" s="642" customFormat="1">
      <c r="A291" s="959"/>
      <c r="B291" s="685"/>
      <c r="C291" s="1426"/>
      <c r="D291" s="950"/>
      <c r="E291" s="674"/>
      <c r="F291" s="674"/>
      <c r="G291" s="674"/>
      <c r="H291" s="671"/>
      <c r="I291" s="671"/>
      <c r="J291" s="671"/>
      <c r="K291" s="671"/>
      <c r="L291" s="671"/>
      <c r="M291" s="671"/>
      <c r="P291" s="672"/>
    </row>
    <row r="292" spans="1:16" s="642" customFormat="1">
      <c r="A292" s="959"/>
      <c r="B292" s="685"/>
      <c r="C292" s="1426"/>
      <c r="D292" s="950"/>
      <c r="E292" s="674"/>
      <c r="F292" s="674"/>
      <c r="G292" s="674"/>
      <c r="H292" s="671"/>
      <c r="I292" s="671"/>
      <c r="J292" s="671"/>
      <c r="K292" s="671"/>
      <c r="L292" s="671"/>
      <c r="M292" s="671"/>
      <c r="P292" s="672"/>
    </row>
    <row r="293" spans="1:16" s="642" customFormat="1">
      <c r="A293" s="959"/>
      <c r="B293" s="685"/>
      <c r="C293" s="1426"/>
      <c r="D293" s="950"/>
      <c r="E293" s="674"/>
      <c r="F293" s="674"/>
      <c r="G293" s="674"/>
      <c r="H293" s="671"/>
      <c r="I293" s="671"/>
      <c r="J293" s="671"/>
      <c r="K293" s="671"/>
      <c r="L293" s="671"/>
      <c r="M293" s="671"/>
      <c r="P293" s="672"/>
    </row>
    <row r="294" spans="1:16" s="642" customFormat="1">
      <c r="A294" s="959"/>
      <c r="B294" s="685"/>
      <c r="C294" s="1426"/>
      <c r="D294" s="950"/>
      <c r="E294" s="674"/>
      <c r="F294" s="674"/>
      <c r="G294" s="674"/>
      <c r="H294" s="671"/>
      <c r="I294" s="671"/>
      <c r="J294" s="671"/>
      <c r="K294" s="671"/>
      <c r="L294" s="671"/>
      <c r="M294" s="671"/>
      <c r="P294" s="672"/>
    </row>
    <row r="295" spans="1:16" s="642" customFormat="1">
      <c r="A295" s="959"/>
      <c r="B295" s="685"/>
      <c r="C295" s="1426"/>
      <c r="D295" s="950"/>
      <c r="E295" s="674"/>
      <c r="F295" s="674"/>
      <c r="G295" s="674"/>
      <c r="H295" s="671"/>
      <c r="I295" s="671"/>
      <c r="J295" s="671"/>
      <c r="K295" s="671"/>
      <c r="L295" s="671"/>
      <c r="M295" s="671"/>
      <c r="P295" s="672"/>
    </row>
    <row r="296" spans="1:16" s="642" customFormat="1">
      <c r="A296" s="959"/>
      <c r="B296" s="685"/>
      <c r="C296" s="1426"/>
      <c r="D296" s="950"/>
      <c r="E296" s="674"/>
      <c r="F296" s="674"/>
      <c r="G296" s="674"/>
      <c r="H296" s="671"/>
      <c r="I296" s="671"/>
      <c r="J296" s="671"/>
      <c r="K296" s="671"/>
      <c r="L296" s="671"/>
      <c r="M296" s="671"/>
      <c r="P296" s="672"/>
    </row>
    <row r="297" spans="1:16" s="642" customFormat="1">
      <c r="A297" s="959"/>
      <c r="B297" s="685"/>
      <c r="C297" s="1426"/>
      <c r="D297" s="950"/>
      <c r="E297" s="674"/>
      <c r="F297" s="674"/>
      <c r="G297" s="674"/>
      <c r="H297" s="671"/>
      <c r="I297" s="671"/>
      <c r="J297" s="671"/>
      <c r="K297" s="671"/>
      <c r="L297" s="671"/>
      <c r="M297" s="671"/>
      <c r="P297" s="672"/>
    </row>
    <row r="298" spans="1:16" s="642" customFormat="1">
      <c r="A298" s="959"/>
      <c r="B298" s="685"/>
      <c r="C298" s="1426"/>
      <c r="D298" s="950"/>
      <c r="E298" s="674"/>
      <c r="F298" s="674"/>
      <c r="G298" s="674"/>
      <c r="H298" s="671"/>
      <c r="I298" s="671"/>
      <c r="J298" s="671"/>
      <c r="K298" s="671"/>
      <c r="L298" s="671"/>
      <c r="M298" s="671"/>
      <c r="P298" s="672"/>
    </row>
    <row r="299" spans="1:16" s="642" customFormat="1">
      <c r="A299" s="959"/>
      <c r="B299" s="685"/>
      <c r="C299" s="1426"/>
      <c r="D299" s="950"/>
      <c r="E299" s="674"/>
      <c r="F299" s="674"/>
      <c r="G299" s="674"/>
      <c r="H299" s="671"/>
      <c r="I299" s="671"/>
      <c r="J299" s="671"/>
      <c r="K299" s="671"/>
      <c r="L299" s="671"/>
      <c r="M299" s="671"/>
      <c r="P299" s="672"/>
    </row>
    <row r="300" spans="1:16" s="642" customFormat="1">
      <c r="A300" s="959"/>
      <c r="B300" s="685"/>
      <c r="C300" s="1426"/>
      <c r="D300" s="950"/>
      <c r="E300" s="674"/>
      <c r="F300" s="674"/>
      <c r="G300" s="674"/>
      <c r="H300" s="671"/>
      <c r="I300" s="671"/>
      <c r="J300" s="671"/>
      <c r="K300" s="671"/>
      <c r="L300" s="671"/>
      <c r="M300" s="671"/>
      <c r="P300" s="672"/>
    </row>
    <row r="301" spans="1:16" s="642" customFormat="1">
      <c r="A301" s="959"/>
      <c r="B301" s="685"/>
      <c r="C301" s="1426"/>
      <c r="D301" s="950"/>
      <c r="E301" s="674"/>
      <c r="F301" s="674"/>
      <c r="G301" s="674"/>
      <c r="H301" s="671"/>
      <c r="I301" s="671"/>
      <c r="J301" s="671"/>
      <c r="K301" s="671"/>
      <c r="L301" s="671"/>
      <c r="M301" s="671"/>
      <c r="P301" s="672"/>
    </row>
    <row r="302" spans="1:16" s="642" customFormat="1">
      <c r="A302" s="959"/>
      <c r="B302" s="685"/>
      <c r="C302" s="1426"/>
      <c r="D302" s="950"/>
      <c r="E302" s="674"/>
      <c r="F302" s="674"/>
      <c r="G302" s="674"/>
      <c r="H302" s="671"/>
      <c r="I302" s="671"/>
      <c r="J302" s="671"/>
      <c r="K302" s="671"/>
      <c r="L302" s="671"/>
      <c r="M302" s="671"/>
      <c r="P302" s="672"/>
    </row>
    <row r="303" spans="1:16" s="642" customFormat="1">
      <c r="A303" s="959"/>
      <c r="B303" s="685"/>
      <c r="C303" s="1426"/>
      <c r="D303" s="950"/>
      <c r="E303" s="674"/>
      <c r="F303" s="674"/>
      <c r="G303" s="674"/>
      <c r="H303" s="671"/>
      <c r="I303" s="671"/>
      <c r="J303" s="671"/>
      <c r="K303" s="671"/>
      <c r="L303" s="671"/>
      <c r="M303" s="671"/>
      <c r="P303" s="672"/>
    </row>
    <row r="304" spans="1:16" s="642" customFormat="1">
      <c r="A304" s="959"/>
      <c r="B304" s="685"/>
      <c r="C304" s="1426"/>
      <c r="D304" s="950"/>
      <c r="E304" s="674"/>
      <c r="F304" s="674"/>
      <c r="G304" s="674"/>
      <c r="H304" s="671"/>
      <c r="I304" s="671"/>
      <c r="J304" s="671"/>
      <c r="K304" s="671"/>
      <c r="L304" s="671"/>
      <c r="M304" s="671"/>
      <c r="P304" s="672"/>
    </row>
    <row r="305" spans="1:16" s="642" customFormat="1">
      <c r="A305" s="959"/>
      <c r="B305" s="685"/>
      <c r="C305" s="1426"/>
      <c r="D305" s="950"/>
      <c r="E305" s="674"/>
      <c r="F305" s="674"/>
      <c r="G305" s="674"/>
      <c r="H305" s="671"/>
      <c r="I305" s="671"/>
      <c r="J305" s="671"/>
      <c r="K305" s="671"/>
      <c r="L305" s="671"/>
      <c r="M305" s="671"/>
      <c r="P305" s="672"/>
    </row>
    <row r="306" spans="1:16" s="642" customFormat="1">
      <c r="A306" s="959"/>
      <c r="B306" s="685"/>
      <c r="C306" s="1426"/>
      <c r="D306" s="950"/>
      <c r="E306" s="674"/>
      <c r="F306" s="674"/>
      <c r="G306" s="674"/>
      <c r="H306" s="671"/>
      <c r="I306" s="671"/>
      <c r="J306" s="671"/>
      <c r="K306" s="671"/>
      <c r="L306" s="671"/>
      <c r="M306" s="671"/>
      <c r="P306" s="672"/>
    </row>
    <row r="307" spans="1:16" s="642" customFormat="1">
      <c r="A307" s="959"/>
      <c r="B307" s="685"/>
      <c r="C307" s="1426"/>
      <c r="D307" s="950"/>
      <c r="E307" s="674"/>
      <c r="F307" s="674"/>
      <c r="G307" s="674"/>
      <c r="H307" s="671"/>
      <c r="I307" s="671"/>
      <c r="J307" s="671"/>
      <c r="K307" s="671"/>
      <c r="L307" s="671"/>
      <c r="M307" s="671"/>
      <c r="P307" s="672"/>
    </row>
    <row r="308" spans="1:16" s="642" customFormat="1">
      <c r="A308" s="959"/>
      <c r="B308" s="685"/>
      <c r="C308" s="1426"/>
      <c r="D308" s="950"/>
      <c r="E308" s="674"/>
      <c r="F308" s="674"/>
      <c r="G308" s="674"/>
      <c r="H308" s="671"/>
      <c r="I308" s="671"/>
      <c r="J308" s="671"/>
      <c r="K308" s="671"/>
      <c r="L308" s="671"/>
      <c r="M308" s="671"/>
      <c r="P308" s="672"/>
    </row>
    <row r="309" spans="1:16" s="642" customFormat="1">
      <c r="A309" s="959"/>
      <c r="B309" s="685"/>
      <c r="C309" s="1426"/>
      <c r="D309" s="950"/>
      <c r="E309" s="674"/>
      <c r="F309" s="674"/>
      <c r="G309" s="674"/>
      <c r="H309" s="671"/>
      <c r="I309" s="671"/>
      <c r="J309" s="671"/>
      <c r="K309" s="671"/>
      <c r="L309" s="671"/>
      <c r="M309" s="671"/>
      <c r="P309" s="672"/>
    </row>
    <row r="310" spans="1:16" s="642" customFormat="1">
      <c r="A310" s="959"/>
      <c r="B310" s="685"/>
      <c r="C310" s="1426"/>
      <c r="D310" s="950"/>
      <c r="E310" s="674"/>
      <c r="F310" s="674"/>
      <c r="G310" s="674"/>
      <c r="H310" s="671"/>
      <c r="I310" s="671"/>
      <c r="J310" s="671"/>
      <c r="K310" s="671"/>
      <c r="L310" s="671"/>
      <c r="M310" s="671"/>
      <c r="P310" s="672"/>
    </row>
    <row r="311" spans="1:16" s="642" customFormat="1">
      <c r="A311" s="959"/>
      <c r="B311" s="685"/>
      <c r="C311" s="1426"/>
      <c r="D311" s="950"/>
      <c r="E311" s="674"/>
      <c r="F311" s="674"/>
      <c r="G311" s="674"/>
      <c r="H311" s="671"/>
      <c r="I311" s="671"/>
      <c r="J311" s="671"/>
      <c r="K311" s="671"/>
      <c r="L311" s="671"/>
      <c r="M311" s="671"/>
      <c r="P311" s="672"/>
    </row>
    <row r="312" spans="1:16" s="642" customFormat="1">
      <c r="A312" s="959"/>
      <c r="B312" s="685"/>
      <c r="C312" s="1426"/>
      <c r="D312" s="950"/>
      <c r="E312" s="674"/>
      <c r="F312" s="674"/>
      <c r="G312" s="674"/>
      <c r="H312" s="671"/>
      <c r="I312" s="671"/>
      <c r="J312" s="671"/>
      <c r="K312" s="671"/>
      <c r="L312" s="671"/>
      <c r="M312" s="671"/>
      <c r="P312" s="672"/>
    </row>
    <row r="313" spans="1:16" s="642" customFormat="1">
      <c r="A313" s="959"/>
      <c r="B313" s="685"/>
      <c r="C313" s="1426"/>
      <c r="D313" s="950"/>
      <c r="E313" s="674"/>
      <c r="F313" s="674"/>
      <c r="G313" s="674"/>
      <c r="H313" s="671"/>
      <c r="I313" s="671"/>
      <c r="J313" s="671"/>
      <c r="K313" s="671"/>
      <c r="L313" s="671"/>
      <c r="M313" s="671"/>
      <c r="P313" s="672"/>
    </row>
    <row r="314" spans="1:16" s="642" customFormat="1">
      <c r="A314" s="959"/>
      <c r="B314" s="685"/>
      <c r="C314" s="1426"/>
      <c r="D314" s="950"/>
      <c r="E314" s="674"/>
      <c r="F314" s="674"/>
      <c r="G314" s="674"/>
      <c r="H314" s="671"/>
      <c r="I314" s="671"/>
      <c r="J314" s="671"/>
      <c r="K314" s="671"/>
      <c r="L314" s="671"/>
      <c r="M314" s="671"/>
      <c r="P314" s="672"/>
    </row>
    <row r="315" spans="1:16" s="642" customFormat="1">
      <c r="A315" s="959"/>
      <c r="B315" s="685"/>
      <c r="C315" s="1426"/>
      <c r="D315" s="950"/>
      <c r="E315" s="674"/>
      <c r="F315" s="674"/>
      <c r="G315" s="674"/>
      <c r="H315" s="671"/>
      <c r="I315" s="671"/>
      <c r="J315" s="671"/>
      <c r="K315" s="671"/>
      <c r="L315" s="671"/>
      <c r="M315" s="671"/>
      <c r="P315" s="672"/>
    </row>
    <row r="316" spans="1:16" s="642" customFormat="1">
      <c r="A316" s="959"/>
      <c r="B316" s="685"/>
      <c r="C316" s="1426"/>
      <c r="D316" s="950"/>
      <c r="E316" s="674"/>
      <c r="F316" s="674"/>
      <c r="G316" s="674"/>
      <c r="H316" s="671"/>
      <c r="I316" s="671"/>
      <c r="J316" s="671"/>
      <c r="K316" s="671"/>
      <c r="L316" s="671"/>
      <c r="M316" s="671"/>
      <c r="P316" s="672"/>
    </row>
    <row r="317" spans="1:16" s="642" customFormat="1">
      <c r="A317" s="959"/>
      <c r="B317" s="685"/>
      <c r="C317" s="1426"/>
      <c r="D317" s="950"/>
      <c r="E317" s="674"/>
      <c r="F317" s="674"/>
      <c r="G317" s="674"/>
      <c r="H317" s="671"/>
      <c r="I317" s="671"/>
      <c r="J317" s="671"/>
      <c r="K317" s="671"/>
      <c r="L317" s="671"/>
      <c r="M317" s="671"/>
      <c r="P317" s="672"/>
    </row>
    <row r="318" spans="1:16" s="642" customFormat="1">
      <c r="A318" s="959"/>
      <c r="B318" s="685"/>
      <c r="C318" s="1426"/>
      <c r="D318" s="950"/>
      <c r="E318" s="674"/>
      <c r="F318" s="674"/>
      <c r="G318" s="674"/>
      <c r="H318" s="671"/>
      <c r="I318" s="671"/>
      <c r="J318" s="671"/>
      <c r="K318" s="671"/>
      <c r="L318" s="671"/>
      <c r="M318" s="671"/>
      <c r="P318" s="672"/>
    </row>
    <row r="319" spans="1:16" s="642" customFormat="1">
      <c r="A319" s="959"/>
      <c r="B319" s="685"/>
      <c r="C319" s="1426"/>
      <c r="D319" s="950"/>
      <c r="E319" s="674"/>
      <c r="F319" s="674"/>
      <c r="G319" s="674"/>
      <c r="H319" s="671"/>
      <c r="I319" s="671"/>
      <c r="J319" s="671"/>
      <c r="K319" s="671"/>
      <c r="L319" s="671"/>
      <c r="M319" s="671"/>
      <c r="P319" s="672"/>
    </row>
    <row r="320" spans="1:16" s="642" customFormat="1">
      <c r="A320" s="959"/>
      <c r="B320" s="685"/>
      <c r="C320" s="1426"/>
      <c r="D320" s="950"/>
      <c r="E320" s="674"/>
      <c r="F320" s="674"/>
      <c r="G320" s="674"/>
      <c r="H320" s="671"/>
      <c r="I320" s="671"/>
      <c r="J320" s="671"/>
      <c r="K320" s="671"/>
      <c r="L320" s="671"/>
      <c r="M320" s="671"/>
      <c r="P320" s="672"/>
    </row>
    <row r="321" spans="1:16" s="642" customFormat="1">
      <c r="A321" s="959"/>
      <c r="B321" s="685"/>
      <c r="C321" s="1426"/>
      <c r="D321" s="950"/>
      <c r="E321" s="674"/>
      <c r="F321" s="674"/>
      <c r="G321" s="674"/>
      <c r="H321" s="671"/>
      <c r="I321" s="671"/>
      <c r="J321" s="671"/>
      <c r="K321" s="671"/>
      <c r="L321" s="671"/>
      <c r="M321" s="671"/>
      <c r="P321" s="672"/>
    </row>
    <row r="322" spans="1:16" s="642" customFormat="1">
      <c r="A322" s="959"/>
      <c r="B322" s="685"/>
      <c r="C322" s="1426"/>
      <c r="D322" s="950"/>
      <c r="E322" s="674"/>
      <c r="F322" s="674"/>
      <c r="G322" s="674"/>
      <c r="H322" s="671"/>
      <c r="I322" s="671"/>
      <c r="J322" s="671"/>
      <c r="K322" s="671"/>
      <c r="L322" s="671"/>
      <c r="M322" s="671"/>
      <c r="P322" s="672"/>
    </row>
    <row r="323" spans="1:16" s="642" customFormat="1">
      <c r="A323" s="959"/>
      <c r="B323" s="685"/>
      <c r="C323" s="1426"/>
      <c r="D323" s="950"/>
      <c r="E323" s="674"/>
      <c r="F323" s="674"/>
      <c r="G323" s="674"/>
      <c r="H323" s="671"/>
      <c r="I323" s="671"/>
      <c r="J323" s="671"/>
      <c r="K323" s="671"/>
      <c r="L323" s="671"/>
      <c r="M323" s="671"/>
      <c r="P323" s="672"/>
    </row>
    <row r="324" spans="1:16" s="642" customFormat="1">
      <c r="A324" s="959"/>
      <c r="B324" s="685"/>
      <c r="C324" s="1426"/>
      <c r="D324" s="950"/>
      <c r="E324" s="674"/>
      <c r="F324" s="674"/>
      <c r="G324" s="674"/>
      <c r="H324" s="671"/>
      <c r="I324" s="671"/>
      <c r="J324" s="671"/>
      <c r="K324" s="671"/>
      <c r="L324" s="671"/>
      <c r="M324" s="671"/>
      <c r="P324" s="672"/>
    </row>
    <row r="325" spans="1:16" s="642" customFormat="1">
      <c r="A325" s="959"/>
      <c r="B325" s="685"/>
      <c r="C325" s="1426"/>
      <c r="D325" s="950"/>
      <c r="E325" s="674"/>
      <c r="F325" s="674"/>
      <c r="G325" s="674"/>
      <c r="H325" s="671"/>
      <c r="I325" s="671"/>
      <c r="J325" s="671"/>
      <c r="K325" s="671"/>
      <c r="L325" s="671"/>
      <c r="M325" s="671"/>
      <c r="P325" s="672"/>
    </row>
    <row r="326" spans="1:16" s="642" customFormat="1">
      <c r="A326" s="959"/>
      <c r="B326" s="685"/>
      <c r="C326" s="1426"/>
      <c r="D326" s="950"/>
      <c r="E326" s="674"/>
      <c r="F326" s="674"/>
      <c r="G326" s="674"/>
      <c r="H326" s="671"/>
      <c r="I326" s="671"/>
      <c r="J326" s="671"/>
      <c r="K326" s="671"/>
      <c r="L326" s="671"/>
      <c r="M326" s="671"/>
      <c r="P326" s="672"/>
    </row>
    <row r="327" spans="1:16" s="642" customFormat="1">
      <c r="A327" s="959"/>
      <c r="B327" s="685"/>
      <c r="C327" s="1426"/>
      <c r="D327" s="950"/>
      <c r="E327" s="674"/>
      <c r="F327" s="674"/>
      <c r="G327" s="674"/>
      <c r="H327" s="671"/>
      <c r="I327" s="671"/>
      <c r="J327" s="671"/>
      <c r="K327" s="671"/>
      <c r="L327" s="671"/>
      <c r="M327" s="671"/>
      <c r="P327" s="672"/>
    </row>
    <row r="328" spans="1:16" s="642" customFormat="1">
      <c r="A328" s="959"/>
      <c r="B328" s="685"/>
      <c r="C328" s="1426"/>
      <c r="D328" s="950"/>
      <c r="E328" s="674"/>
      <c r="F328" s="674"/>
      <c r="G328" s="674"/>
      <c r="H328" s="671"/>
      <c r="I328" s="671"/>
      <c r="J328" s="671"/>
      <c r="K328" s="671"/>
      <c r="L328" s="671"/>
      <c r="M328" s="671"/>
      <c r="P328" s="672"/>
    </row>
    <row r="329" spans="1:16" s="642" customFormat="1">
      <c r="A329" s="959"/>
      <c r="B329" s="685"/>
      <c r="C329" s="1426"/>
      <c r="D329" s="950"/>
      <c r="E329" s="674"/>
      <c r="F329" s="674"/>
      <c r="G329" s="674"/>
      <c r="H329" s="671"/>
      <c r="I329" s="671"/>
      <c r="J329" s="671"/>
      <c r="K329" s="671"/>
      <c r="L329" s="671"/>
      <c r="M329" s="671"/>
      <c r="P329" s="672"/>
    </row>
    <row r="330" spans="1:16" s="642" customFormat="1">
      <c r="A330" s="959"/>
      <c r="B330" s="685"/>
      <c r="C330" s="1426"/>
      <c r="D330" s="950"/>
      <c r="E330" s="674"/>
      <c r="F330" s="674"/>
      <c r="G330" s="674"/>
      <c r="H330" s="671"/>
      <c r="I330" s="671"/>
      <c r="J330" s="671"/>
      <c r="K330" s="671"/>
      <c r="L330" s="671"/>
      <c r="M330" s="671"/>
      <c r="P330" s="672"/>
    </row>
    <row r="331" spans="1:16" s="642" customFormat="1">
      <c r="A331" s="959"/>
      <c r="B331" s="685"/>
      <c r="C331" s="1426"/>
      <c r="D331" s="950"/>
      <c r="E331" s="674"/>
      <c r="F331" s="674"/>
      <c r="G331" s="674"/>
      <c r="H331" s="671"/>
      <c r="I331" s="671"/>
      <c r="J331" s="671"/>
      <c r="K331" s="671"/>
      <c r="L331" s="671"/>
      <c r="M331" s="671"/>
      <c r="P331" s="672"/>
    </row>
    <row r="332" spans="1:16" s="642" customFormat="1">
      <c r="A332" s="959"/>
      <c r="B332" s="685"/>
      <c r="C332" s="1426"/>
      <c r="D332" s="950"/>
      <c r="E332" s="674"/>
      <c r="F332" s="674"/>
      <c r="G332" s="674"/>
      <c r="H332" s="671"/>
      <c r="I332" s="671"/>
      <c r="J332" s="671"/>
      <c r="K332" s="671"/>
      <c r="L332" s="671"/>
      <c r="M332" s="671"/>
      <c r="P332" s="672"/>
    </row>
    <row r="333" spans="1:16" s="642" customFormat="1">
      <c r="A333" s="959"/>
      <c r="B333" s="685"/>
      <c r="C333" s="1426"/>
      <c r="D333" s="950"/>
      <c r="E333" s="674"/>
      <c r="F333" s="674"/>
      <c r="G333" s="674"/>
      <c r="H333" s="671"/>
      <c r="I333" s="671"/>
      <c r="J333" s="671"/>
      <c r="K333" s="671"/>
      <c r="L333" s="671"/>
      <c r="M333" s="671"/>
      <c r="P333" s="672"/>
    </row>
    <row r="334" spans="1:16" s="642" customFormat="1">
      <c r="A334" s="959"/>
      <c r="B334" s="685"/>
      <c r="C334" s="1426"/>
      <c r="D334" s="950"/>
      <c r="E334" s="674"/>
      <c r="F334" s="674"/>
      <c r="G334" s="674"/>
      <c r="H334" s="671"/>
      <c r="I334" s="671"/>
      <c r="J334" s="671"/>
      <c r="K334" s="671"/>
      <c r="L334" s="671"/>
      <c r="M334" s="671"/>
      <c r="P334" s="672"/>
    </row>
    <row r="335" spans="1:16" s="642" customFormat="1">
      <c r="A335" s="959"/>
      <c r="B335" s="685"/>
      <c r="C335" s="1426"/>
      <c r="D335" s="950"/>
      <c r="E335" s="674"/>
      <c r="F335" s="674"/>
      <c r="G335" s="674"/>
      <c r="H335" s="671"/>
      <c r="I335" s="671"/>
      <c r="J335" s="671"/>
      <c r="K335" s="671"/>
      <c r="L335" s="671"/>
      <c r="M335" s="671"/>
      <c r="P335" s="672"/>
    </row>
    <row r="336" spans="1:16" s="642" customFormat="1">
      <c r="A336" s="959"/>
      <c r="B336" s="685"/>
      <c r="C336" s="1426"/>
      <c r="D336" s="950"/>
      <c r="E336" s="674"/>
      <c r="F336" s="674"/>
      <c r="G336" s="674"/>
      <c r="H336" s="671"/>
      <c r="I336" s="671"/>
      <c r="J336" s="671"/>
      <c r="K336" s="671"/>
      <c r="L336" s="671"/>
      <c r="M336" s="671"/>
      <c r="P336" s="672"/>
    </row>
    <row r="337" spans="1:16" s="642" customFormat="1">
      <c r="A337" s="959"/>
      <c r="B337" s="685"/>
      <c r="C337" s="1426"/>
      <c r="D337" s="950"/>
      <c r="E337" s="674"/>
      <c r="F337" s="674"/>
      <c r="G337" s="674"/>
      <c r="H337" s="671"/>
      <c r="I337" s="671"/>
      <c r="J337" s="671"/>
      <c r="K337" s="671"/>
      <c r="L337" s="671"/>
      <c r="M337" s="671"/>
      <c r="P337" s="672"/>
    </row>
    <row r="338" spans="1:16" s="642" customFormat="1">
      <c r="A338" s="959"/>
      <c r="B338" s="685"/>
      <c r="C338" s="1426"/>
      <c r="D338" s="950"/>
      <c r="E338" s="674"/>
      <c r="F338" s="674"/>
      <c r="G338" s="674"/>
      <c r="H338" s="671"/>
      <c r="I338" s="671"/>
      <c r="J338" s="671"/>
      <c r="K338" s="671"/>
      <c r="L338" s="671"/>
      <c r="M338" s="671"/>
      <c r="P338" s="672"/>
    </row>
    <row r="339" spans="1:16" s="642" customFormat="1">
      <c r="A339" s="959"/>
      <c r="B339" s="685"/>
      <c r="C339" s="1426"/>
      <c r="D339" s="950"/>
      <c r="E339" s="674"/>
      <c r="F339" s="674"/>
      <c r="G339" s="674"/>
      <c r="H339" s="671"/>
      <c r="I339" s="671"/>
      <c r="J339" s="671"/>
      <c r="K339" s="671"/>
      <c r="L339" s="671"/>
      <c r="M339" s="671"/>
      <c r="P339" s="672"/>
    </row>
    <row r="340" spans="1:16" s="642" customFormat="1">
      <c r="A340" s="959"/>
      <c r="B340" s="685"/>
      <c r="C340" s="1426"/>
      <c r="D340" s="950"/>
      <c r="E340" s="674"/>
      <c r="F340" s="674"/>
      <c r="G340" s="674"/>
      <c r="H340" s="671"/>
      <c r="I340" s="671"/>
      <c r="J340" s="671"/>
      <c r="K340" s="671"/>
      <c r="L340" s="671"/>
      <c r="M340" s="671"/>
      <c r="P340" s="672"/>
    </row>
    <row r="341" spans="1:16" s="642" customFormat="1">
      <c r="A341" s="959"/>
      <c r="B341" s="685"/>
      <c r="C341" s="1426"/>
      <c r="D341" s="950"/>
      <c r="E341" s="674"/>
      <c r="F341" s="674"/>
      <c r="G341" s="674"/>
      <c r="H341" s="671"/>
      <c r="I341" s="671"/>
      <c r="J341" s="671"/>
      <c r="K341" s="671"/>
      <c r="L341" s="671"/>
      <c r="M341" s="671"/>
      <c r="P341" s="672"/>
    </row>
    <row r="342" spans="1:16" s="642" customFormat="1">
      <c r="A342" s="959"/>
      <c r="B342" s="685"/>
      <c r="C342" s="1426"/>
      <c r="D342" s="950"/>
      <c r="E342" s="674"/>
      <c r="F342" s="674"/>
      <c r="G342" s="674"/>
      <c r="H342" s="671"/>
      <c r="I342" s="671"/>
      <c r="J342" s="671"/>
      <c r="K342" s="671"/>
      <c r="L342" s="671"/>
      <c r="M342" s="671"/>
      <c r="P342" s="672"/>
    </row>
    <row r="343" spans="1:16" s="642" customFormat="1">
      <c r="A343" s="959"/>
      <c r="B343" s="685"/>
      <c r="C343" s="1426"/>
      <c r="D343" s="950"/>
      <c r="E343" s="674"/>
      <c r="F343" s="674"/>
      <c r="G343" s="674"/>
      <c r="H343" s="671"/>
      <c r="I343" s="671"/>
      <c r="J343" s="671"/>
      <c r="K343" s="671"/>
      <c r="L343" s="671"/>
      <c r="M343" s="671"/>
      <c r="P343" s="672"/>
    </row>
    <row r="344" spans="1:16" s="642" customFormat="1">
      <c r="A344" s="959"/>
      <c r="B344" s="685"/>
      <c r="C344" s="1426"/>
      <c r="D344" s="950"/>
      <c r="E344" s="674"/>
      <c r="F344" s="674"/>
      <c r="G344" s="674"/>
      <c r="H344" s="671"/>
      <c r="I344" s="671"/>
      <c r="J344" s="671"/>
      <c r="K344" s="671"/>
      <c r="L344" s="671"/>
      <c r="M344" s="671"/>
      <c r="P344" s="672"/>
    </row>
    <row r="345" spans="1:16" s="642" customFormat="1">
      <c r="A345" s="959"/>
      <c r="B345" s="685"/>
      <c r="C345" s="1426"/>
      <c r="D345" s="950"/>
      <c r="E345" s="674"/>
      <c r="F345" s="674"/>
      <c r="G345" s="674"/>
      <c r="H345" s="671"/>
      <c r="I345" s="671"/>
      <c r="J345" s="671"/>
      <c r="K345" s="671"/>
      <c r="L345" s="671"/>
      <c r="M345" s="671"/>
      <c r="P345" s="672"/>
    </row>
    <row r="346" spans="1:16" s="642" customFormat="1">
      <c r="A346" s="959"/>
      <c r="B346" s="685"/>
      <c r="C346" s="1426"/>
      <c r="D346" s="950"/>
      <c r="E346" s="674"/>
      <c r="F346" s="674"/>
      <c r="G346" s="674"/>
      <c r="H346" s="671"/>
      <c r="I346" s="671"/>
      <c r="J346" s="671"/>
      <c r="K346" s="671"/>
      <c r="L346" s="671"/>
      <c r="M346" s="671"/>
      <c r="P346" s="672"/>
    </row>
    <row r="347" spans="1:16" s="642" customFormat="1">
      <c r="A347" s="959"/>
      <c r="B347" s="685"/>
      <c r="C347" s="1426"/>
      <c r="D347" s="950"/>
      <c r="E347" s="674"/>
      <c r="F347" s="674"/>
      <c r="G347" s="674"/>
      <c r="H347" s="671"/>
      <c r="I347" s="671"/>
      <c r="J347" s="671"/>
      <c r="K347" s="671"/>
      <c r="L347" s="671"/>
      <c r="M347" s="671"/>
      <c r="P347" s="672"/>
    </row>
    <row r="348" spans="1:16" s="642" customFormat="1">
      <c r="A348" s="959"/>
      <c r="B348" s="685"/>
      <c r="C348" s="1426"/>
      <c r="D348" s="950"/>
      <c r="E348" s="674"/>
      <c r="F348" s="674"/>
      <c r="G348" s="674"/>
      <c r="H348" s="671"/>
      <c r="I348" s="671"/>
      <c r="J348" s="671"/>
      <c r="K348" s="671"/>
      <c r="L348" s="671"/>
      <c r="M348" s="671"/>
      <c r="P348" s="672"/>
    </row>
    <row r="349" spans="1:16" s="642" customFormat="1">
      <c r="A349" s="959"/>
      <c r="B349" s="685"/>
      <c r="C349" s="1426"/>
      <c r="D349" s="950"/>
      <c r="E349" s="674"/>
      <c r="F349" s="674"/>
      <c r="G349" s="674"/>
      <c r="H349" s="671"/>
      <c r="I349" s="671"/>
      <c r="J349" s="671"/>
      <c r="K349" s="671"/>
      <c r="L349" s="671"/>
      <c r="M349" s="671"/>
      <c r="P349" s="672"/>
    </row>
    <row r="350" spans="1:16" s="642" customFormat="1">
      <c r="A350" s="959"/>
      <c r="B350" s="685"/>
      <c r="C350" s="1426"/>
      <c r="D350" s="950"/>
      <c r="E350" s="674"/>
      <c r="F350" s="674"/>
      <c r="G350" s="674"/>
      <c r="H350" s="671"/>
      <c r="I350" s="671"/>
      <c r="J350" s="671"/>
      <c r="K350" s="671"/>
      <c r="L350" s="671"/>
      <c r="M350" s="671"/>
      <c r="P350" s="672"/>
    </row>
    <row r="351" spans="1:16" s="642" customFormat="1">
      <c r="A351" s="959"/>
      <c r="B351" s="685"/>
      <c r="C351" s="1426"/>
      <c r="D351" s="950"/>
      <c r="E351" s="674"/>
      <c r="F351" s="674"/>
      <c r="G351" s="674"/>
      <c r="H351" s="671"/>
      <c r="I351" s="671"/>
      <c r="J351" s="671"/>
      <c r="K351" s="671"/>
      <c r="L351" s="671"/>
      <c r="M351" s="671"/>
      <c r="P351" s="672"/>
    </row>
    <row r="352" spans="1:16" s="642" customFormat="1">
      <c r="A352" s="959"/>
      <c r="B352" s="685"/>
      <c r="C352" s="1426"/>
      <c r="D352" s="950"/>
      <c r="E352" s="674"/>
      <c r="F352" s="674"/>
      <c r="G352" s="674"/>
      <c r="H352" s="671"/>
      <c r="I352" s="671"/>
      <c r="J352" s="671"/>
      <c r="K352" s="671"/>
      <c r="L352" s="671"/>
      <c r="M352" s="671"/>
      <c r="P352" s="672"/>
    </row>
    <row r="353" spans="1:16" s="642" customFormat="1">
      <c r="A353" s="959"/>
      <c r="B353" s="685"/>
      <c r="C353" s="1426"/>
      <c r="D353" s="950"/>
      <c r="E353" s="674"/>
      <c r="F353" s="674"/>
      <c r="G353" s="674"/>
      <c r="H353" s="671"/>
      <c r="I353" s="671"/>
      <c r="J353" s="671"/>
      <c r="K353" s="671"/>
      <c r="L353" s="671"/>
      <c r="M353" s="671"/>
      <c r="P353" s="672"/>
    </row>
    <row r="354" spans="1:16" s="642" customFormat="1">
      <c r="A354" s="959"/>
      <c r="B354" s="685"/>
      <c r="C354" s="1426"/>
      <c r="D354" s="950"/>
      <c r="E354" s="674"/>
      <c r="F354" s="674"/>
      <c r="G354" s="674"/>
      <c r="H354" s="671"/>
      <c r="I354" s="671"/>
      <c r="J354" s="671"/>
      <c r="K354" s="671"/>
      <c r="L354" s="671"/>
      <c r="M354" s="671"/>
      <c r="P354" s="672"/>
    </row>
    <row r="355" spans="1:16" s="642" customFormat="1">
      <c r="A355" s="959"/>
      <c r="B355" s="685"/>
      <c r="C355" s="1426"/>
      <c r="D355" s="950"/>
      <c r="E355" s="674"/>
      <c r="F355" s="674"/>
      <c r="G355" s="674"/>
      <c r="H355" s="671"/>
      <c r="I355" s="671"/>
      <c r="J355" s="671"/>
      <c r="K355" s="671"/>
      <c r="L355" s="671"/>
      <c r="M355" s="671"/>
      <c r="P355" s="672"/>
    </row>
    <row r="356" spans="1:16" s="642" customFormat="1">
      <c r="A356" s="959"/>
      <c r="B356" s="685"/>
      <c r="C356" s="1426"/>
      <c r="D356" s="950"/>
      <c r="E356" s="674"/>
      <c r="F356" s="674"/>
      <c r="G356" s="674"/>
      <c r="H356" s="671"/>
      <c r="I356" s="671"/>
      <c r="J356" s="671"/>
      <c r="K356" s="671"/>
      <c r="L356" s="671"/>
      <c r="M356" s="671"/>
      <c r="P356" s="672"/>
    </row>
    <row r="357" spans="1:16" s="642" customFormat="1">
      <c r="A357" s="959"/>
      <c r="B357" s="685"/>
      <c r="C357" s="1426"/>
      <c r="D357" s="950"/>
      <c r="E357" s="674"/>
      <c r="F357" s="674"/>
      <c r="G357" s="674"/>
      <c r="H357" s="671"/>
      <c r="I357" s="671"/>
      <c r="J357" s="671"/>
      <c r="K357" s="671"/>
      <c r="L357" s="671"/>
      <c r="M357" s="671"/>
      <c r="P357" s="672"/>
    </row>
    <row r="358" spans="1:16" s="642" customFormat="1">
      <c r="A358" s="959"/>
      <c r="B358" s="685"/>
      <c r="C358" s="1426"/>
      <c r="D358" s="950"/>
      <c r="E358" s="674"/>
      <c r="F358" s="674"/>
      <c r="G358" s="674"/>
      <c r="H358" s="671"/>
      <c r="I358" s="671"/>
      <c r="J358" s="671"/>
      <c r="K358" s="671"/>
      <c r="L358" s="671"/>
      <c r="M358" s="671"/>
      <c r="P358" s="672"/>
    </row>
    <row r="359" spans="1:16" s="642" customFormat="1">
      <c r="A359" s="959"/>
      <c r="B359" s="685"/>
      <c r="C359" s="1426"/>
      <c r="D359" s="950"/>
      <c r="E359" s="674"/>
      <c r="F359" s="674"/>
      <c r="G359" s="674"/>
      <c r="H359" s="671"/>
      <c r="I359" s="671"/>
      <c r="J359" s="671"/>
      <c r="K359" s="671"/>
      <c r="L359" s="671"/>
      <c r="M359" s="671"/>
      <c r="P359" s="672"/>
    </row>
    <row r="360" spans="1:16" s="642" customFormat="1">
      <c r="A360" s="959"/>
      <c r="B360" s="685"/>
      <c r="C360" s="1426"/>
      <c r="D360" s="950"/>
      <c r="E360" s="674"/>
      <c r="F360" s="674"/>
      <c r="G360" s="674"/>
      <c r="H360" s="671"/>
      <c r="I360" s="671"/>
      <c r="J360" s="671"/>
      <c r="K360" s="671"/>
      <c r="L360" s="671"/>
      <c r="M360" s="671"/>
      <c r="P360" s="672"/>
    </row>
    <row r="361" spans="1:16" s="642" customFormat="1">
      <c r="A361" s="959"/>
      <c r="B361" s="685"/>
      <c r="C361" s="1426"/>
      <c r="D361" s="950"/>
      <c r="E361" s="674"/>
      <c r="F361" s="674"/>
      <c r="G361" s="674"/>
      <c r="H361" s="671"/>
      <c r="I361" s="671"/>
      <c r="J361" s="671"/>
      <c r="K361" s="671"/>
      <c r="L361" s="671"/>
      <c r="M361" s="671"/>
      <c r="P361" s="672"/>
    </row>
    <row r="362" spans="1:16" s="642" customFormat="1">
      <c r="A362" s="959"/>
      <c r="B362" s="685"/>
      <c r="C362" s="1426"/>
      <c r="D362" s="950"/>
      <c r="E362" s="674"/>
      <c r="F362" s="674"/>
      <c r="G362" s="674"/>
      <c r="H362" s="671"/>
      <c r="I362" s="671"/>
      <c r="J362" s="671"/>
      <c r="K362" s="671"/>
      <c r="L362" s="671"/>
      <c r="M362" s="671"/>
      <c r="P362" s="672"/>
    </row>
    <row r="363" spans="1:16" s="642" customFormat="1">
      <c r="A363" s="959"/>
      <c r="B363" s="685"/>
      <c r="C363" s="1426"/>
      <c r="D363" s="950"/>
      <c r="E363" s="674"/>
      <c r="F363" s="674"/>
      <c r="G363" s="674"/>
      <c r="H363" s="671"/>
      <c r="I363" s="671"/>
      <c r="J363" s="671"/>
      <c r="K363" s="671"/>
      <c r="L363" s="671"/>
      <c r="M363" s="671"/>
      <c r="P363" s="672"/>
    </row>
    <row r="364" spans="1:16" s="642" customFormat="1">
      <c r="A364" s="959"/>
      <c r="B364" s="685"/>
      <c r="C364" s="1426"/>
      <c r="D364" s="950"/>
      <c r="E364" s="674"/>
      <c r="F364" s="674"/>
      <c r="G364" s="674"/>
      <c r="H364" s="671"/>
      <c r="I364" s="671"/>
      <c r="J364" s="671"/>
      <c r="K364" s="671"/>
      <c r="L364" s="671"/>
      <c r="M364" s="671"/>
      <c r="P364" s="672"/>
    </row>
    <row r="365" spans="1:16" s="642" customFormat="1">
      <c r="A365" s="959"/>
      <c r="B365" s="685"/>
      <c r="C365" s="1426"/>
      <c r="D365" s="950"/>
      <c r="E365" s="674"/>
      <c r="F365" s="674"/>
      <c r="G365" s="674"/>
      <c r="H365" s="671"/>
      <c r="I365" s="671"/>
      <c r="J365" s="671"/>
      <c r="K365" s="671"/>
      <c r="L365" s="671"/>
      <c r="M365" s="671"/>
      <c r="P365" s="672"/>
    </row>
    <row r="366" spans="1:16" s="642" customFormat="1">
      <c r="A366" s="959"/>
      <c r="B366" s="685"/>
      <c r="C366" s="1426"/>
      <c r="D366" s="950"/>
      <c r="E366" s="674"/>
      <c r="F366" s="674"/>
      <c r="G366" s="674"/>
      <c r="H366" s="671"/>
      <c r="I366" s="671"/>
      <c r="J366" s="671"/>
      <c r="K366" s="671"/>
      <c r="L366" s="671"/>
      <c r="M366" s="671"/>
      <c r="P366" s="672"/>
    </row>
    <row r="367" spans="1:16" s="642" customFormat="1">
      <c r="A367" s="959"/>
      <c r="B367" s="685"/>
      <c r="C367" s="1426"/>
      <c r="D367" s="950"/>
      <c r="E367" s="674"/>
      <c r="F367" s="674"/>
      <c r="G367" s="674"/>
      <c r="H367" s="671"/>
      <c r="I367" s="671"/>
      <c r="J367" s="671"/>
      <c r="K367" s="671"/>
      <c r="L367" s="671"/>
      <c r="M367" s="671"/>
      <c r="P367" s="672"/>
    </row>
    <row r="368" spans="1:16" s="642" customFormat="1">
      <c r="A368" s="959"/>
      <c r="B368" s="685"/>
      <c r="C368" s="1426"/>
      <c r="D368" s="950"/>
      <c r="E368" s="674"/>
      <c r="F368" s="674"/>
      <c r="G368" s="674"/>
      <c r="H368" s="671"/>
      <c r="I368" s="671"/>
      <c r="J368" s="671"/>
      <c r="K368" s="671"/>
      <c r="L368" s="671"/>
      <c r="M368" s="671"/>
      <c r="P368" s="672"/>
    </row>
    <row r="369" spans="1:16" s="642" customFormat="1">
      <c r="A369" s="959"/>
      <c r="B369" s="685"/>
      <c r="C369" s="1426"/>
      <c r="D369" s="950"/>
      <c r="E369" s="674"/>
      <c r="F369" s="674"/>
      <c r="G369" s="674"/>
      <c r="H369" s="671"/>
      <c r="I369" s="671"/>
      <c r="J369" s="671"/>
      <c r="K369" s="671"/>
      <c r="L369" s="671"/>
      <c r="M369" s="671"/>
      <c r="P369" s="672"/>
    </row>
    <row r="370" spans="1:16" s="642" customFormat="1">
      <c r="A370" s="959"/>
      <c r="B370" s="685"/>
      <c r="C370" s="1426"/>
      <c r="D370" s="950"/>
      <c r="E370" s="674"/>
      <c r="F370" s="674"/>
      <c r="G370" s="674"/>
      <c r="H370" s="671"/>
      <c r="I370" s="671"/>
      <c r="J370" s="671"/>
      <c r="K370" s="671"/>
      <c r="L370" s="671"/>
      <c r="M370" s="671"/>
      <c r="P370" s="672"/>
    </row>
    <row r="371" spans="1:16" s="642" customFormat="1">
      <c r="A371" s="959"/>
      <c r="B371" s="685"/>
      <c r="C371" s="1426"/>
      <c r="D371" s="950"/>
      <c r="E371" s="674"/>
      <c r="F371" s="674"/>
      <c r="G371" s="674"/>
      <c r="H371" s="671"/>
      <c r="I371" s="671"/>
      <c r="J371" s="671"/>
      <c r="K371" s="671"/>
      <c r="L371" s="671"/>
      <c r="M371" s="671"/>
      <c r="P371" s="672"/>
    </row>
    <row r="372" spans="1:16" s="642" customFormat="1">
      <c r="A372" s="959"/>
      <c r="B372" s="685"/>
      <c r="C372" s="1426"/>
      <c r="D372" s="950"/>
      <c r="E372" s="674"/>
      <c r="F372" s="674"/>
      <c r="G372" s="674"/>
      <c r="H372" s="671"/>
      <c r="I372" s="671"/>
      <c r="J372" s="671"/>
      <c r="K372" s="671"/>
      <c r="L372" s="671"/>
      <c r="M372" s="671"/>
      <c r="P372" s="672"/>
    </row>
    <row r="373" spans="1:16" s="642" customFormat="1">
      <c r="A373" s="959"/>
      <c r="B373" s="685"/>
      <c r="C373" s="1426"/>
      <c r="D373" s="950"/>
      <c r="E373" s="674"/>
      <c r="F373" s="674"/>
      <c r="G373" s="674"/>
      <c r="H373" s="671"/>
      <c r="I373" s="671"/>
      <c r="J373" s="671"/>
      <c r="K373" s="671"/>
      <c r="L373" s="671"/>
      <c r="M373" s="671"/>
      <c r="P373" s="672"/>
    </row>
    <row r="374" spans="1:16" s="642" customFormat="1">
      <c r="A374" s="959"/>
      <c r="B374" s="685"/>
      <c r="C374" s="1426"/>
      <c r="D374" s="950"/>
      <c r="E374" s="674"/>
      <c r="F374" s="674"/>
      <c r="G374" s="674"/>
      <c r="H374" s="671"/>
      <c r="I374" s="671"/>
      <c r="J374" s="671"/>
      <c r="K374" s="671"/>
      <c r="L374" s="671"/>
      <c r="M374" s="671"/>
      <c r="P374" s="672"/>
    </row>
    <row r="375" spans="1:16" s="642" customFormat="1">
      <c r="A375" s="959"/>
      <c r="B375" s="685"/>
      <c r="C375" s="1426"/>
      <c r="D375" s="950"/>
      <c r="E375" s="674"/>
      <c r="F375" s="674"/>
      <c r="G375" s="674"/>
      <c r="H375" s="671"/>
      <c r="I375" s="671"/>
      <c r="J375" s="671"/>
      <c r="K375" s="671"/>
      <c r="L375" s="671"/>
      <c r="M375" s="671"/>
      <c r="P375" s="672"/>
    </row>
    <row r="376" spans="1:16" s="642" customFormat="1">
      <c r="A376" s="959"/>
      <c r="B376" s="685"/>
      <c r="C376" s="1426"/>
      <c r="D376" s="950"/>
      <c r="E376" s="674"/>
      <c r="F376" s="674"/>
      <c r="G376" s="674"/>
      <c r="H376" s="671"/>
      <c r="I376" s="671"/>
      <c r="J376" s="671"/>
      <c r="K376" s="671"/>
      <c r="L376" s="671"/>
      <c r="M376" s="671"/>
      <c r="P376" s="672"/>
    </row>
    <row r="377" spans="1:16" s="642" customFormat="1">
      <c r="A377" s="959"/>
      <c r="B377" s="685"/>
      <c r="C377" s="1426"/>
      <c r="D377" s="950"/>
      <c r="E377" s="674"/>
      <c r="F377" s="674"/>
      <c r="G377" s="674"/>
      <c r="H377" s="671"/>
      <c r="I377" s="671"/>
      <c r="J377" s="671"/>
      <c r="K377" s="671"/>
      <c r="L377" s="671"/>
      <c r="M377" s="671"/>
      <c r="P377" s="672"/>
    </row>
    <row r="378" spans="1:16" s="642" customFormat="1">
      <c r="A378" s="959"/>
      <c r="B378" s="685"/>
      <c r="C378" s="1426"/>
      <c r="D378" s="950"/>
      <c r="E378" s="674"/>
      <c r="F378" s="674"/>
      <c r="G378" s="674"/>
      <c r="H378" s="671"/>
      <c r="I378" s="671"/>
      <c r="J378" s="671"/>
      <c r="K378" s="671"/>
      <c r="L378" s="671"/>
      <c r="M378" s="671"/>
      <c r="P378" s="672"/>
    </row>
    <row r="379" spans="1:16" s="642" customFormat="1">
      <c r="A379" s="959"/>
      <c r="B379" s="685"/>
      <c r="C379" s="1426"/>
      <c r="D379" s="950"/>
      <c r="E379" s="674"/>
      <c r="F379" s="674"/>
      <c r="G379" s="674"/>
      <c r="H379" s="671"/>
      <c r="I379" s="671"/>
      <c r="J379" s="671"/>
      <c r="K379" s="671"/>
      <c r="L379" s="671"/>
      <c r="M379" s="671"/>
      <c r="P379" s="672"/>
    </row>
    <row r="380" spans="1:16" s="642" customFormat="1">
      <c r="A380" s="959"/>
      <c r="B380" s="685"/>
      <c r="C380" s="1426"/>
      <c r="D380" s="950"/>
      <c r="E380" s="674"/>
      <c r="F380" s="674"/>
      <c r="G380" s="674"/>
      <c r="H380" s="671"/>
      <c r="I380" s="671"/>
      <c r="J380" s="671"/>
      <c r="K380" s="671"/>
      <c r="L380" s="671"/>
      <c r="M380" s="671"/>
      <c r="P380" s="672"/>
    </row>
    <row r="381" spans="1:16" s="642" customFormat="1">
      <c r="A381" s="959"/>
      <c r="B381" s="685"/>
      <c r="C381" s="1426"/>
      <c r="D381" s="950"/>
      <c r="E381" s="674"/>
      <c r="F381" s="674"/>
      <c r="G381" s="674"/>
      <c r="H381" s="671"/>
      <c r="I381" s="671"/>
      <c r="J381" s="671"/>
      <c r="K381" s="671"/>
      <c r="L381" s="671"/>
      <c r="M381" s="671"/>
      <c r="P381" s="672"/>
    </row>
    <row r="382" spans="1:16" s="642" customFormat="1">
      <c r="A382" s="959"/>
      <c r="B382" s="685"/>
      <c r="C382" s="1426"/>
      <c r="D382" s="950"/>
      <c r="E382" s="674"/>
      <c r="F382" s="674"/>
      <c r="G382" s="674"/>
      <c r="H382" s="671"/>
      <c r="I382" s="671"/>
      <c r="J382" s="671"/>
      <c r="K382" s="671"/>
      <c r="L382" s="671"/>
      <c r="M382" s="671"/>
      <c r="P382" s="672"/>
    </row>
    <row r="383" spans="1:16" s="642" customFormat="1">
      <c r="A383" s="959"/>
      <c r="B383" s="685"/>
      <c r="C383" s="1426"/>
      <c r="D383" s="950"/>
      <c r="E383" s="674"/>
      <c r="F383" s="674"/>
      <c r="G383" s="674"/>
      <c r="H383" s="671"/>
      <c r="I383" s="671"/>
      <c r="J383" s="671"/>
      <c r="K383" s="671"/>
      <c r="L383" s="671"/>
      <c r="M383" s="671"/>
      <c r="P383" s="672"/>
    </row>
    <row r="384" spans="1:16" s="642" customFormat="1">
      <c r="A384" s="959"/>
      <c r="B384" s="685"/>
      <c r="C384" s="1426"/>
      <c r="D384" s="950"/>
      <c r="E384" s="674"/>
      <c r="F384" s="674"/>
      <c r="G384" s="674"/>
      <c r="H384" s="671"/>
      <c r="I384" s="671"/>
      <c r="J384" s="671"/>
      <c r="K384" s="671"/>
      <c r="L384" s="671"/>
      <c r="M384" s="671"/>
      <c r="P384" s="672"/>
    </row>
    <row r="385" spans="1:16" s="642" customFormat="1">
      <c r="A385" s="959"/>
      <c r="B385" s="685"/>
      <c r="C385" s="1426"/>
      <c r="D385" s="950"/>
      <c r="E385" s="674"/>
      <c r="F385" s="674"/>
      <c r="G385" s="674"/>
      <c r="H385" s="671"/>
      <c r="I385" s="671"/>
      <c r="J385" s="671"/>
      <c r="K385" s="671"/>
      <c r="L385" s="671"/>
      <c r="M385" s="671"/>
      <c r="P385" s="672"/>
    </row>
    <row r="386" spans="1:16" s="642" customFormat="1">
      <c r="A386" s="959"/>
      <c r="B386" s="685"/>
      <c r="C386" s="1426"/>
      <c r="D386" s="950"/>
      <c r="E386" s="674"/>
      <c r="F386" s="674"/>
      <c r="G386" s="674"/>
      <c r="H386" s="671"/>
      <c r="I386" s="671"/>
      <c r="J386" s="671"/>
      <c r="K386" s="671"/>
      <c r="L386" s="671"/>
      <c r="M386" s="671"/>
      <c r="P386" s="672"/>
    </row>
    <row r="387" spans="1:16" s="642" customFormat="1">
      <c r="A387" s="959"/>
      <c r="B387" s="685"/>
      <c r="C387" s="1426"/>
      <c r="D387" s="950"/>
      <c r="E387" s="674"/>
      <c r="F387" s="674"/>
      <c r="G387" s="674"/>
      <c r="H387" s="671"/>
      <c r="I387" s="671"/>
      <c r="J387" s="671"/>
      <c r="K387" s="671"/>
      <c r="L387" s="671"/>
      <c r="M387" s="671"/>
      <c r="P387" s="672"/>
    </row>
    <row r="388" spans="1:16" s="642" customFormat="1">
      <c r="A388" s="959"/>
      <c r="B388" s="685"/>
      <c r="C388" s="1426"/>
      <c r="D388" s="950"/>
      <c r="E388" s="674"/>
      <c r="F388" s="674"/>
      <c r="G388" s="674"/>
      <c r="H388" s="671"/>
      <c r="I388" s="671"/>
      <c r="J388" s="671"/>
      <c r="K388" s="671"/>
      <c r="L388" s="671"/>
      <c r="M388" s="671"/>
      <c r="P388" s="672"/>
    </row>
    <row r="389" spans="1:16" s="642" customFormat="1">
      <c r="A389" s="959"/>
      <c r="B389" s="685"/>
      <c r="C389" s="1426"/>
      <c r="D389" s="950"/>
      <c r="E389" s="674"/>
      <c r="F389" s="674"/>
      <c r="G389" s="674"/>
      <c r="H389" s="671"/>
      <c r="I389" s="671"/>
      <c r="J389" s="671"/>
      <c r="K389" s="671"/>
      <c r="L389" s="671"/>
      <c r="M389" s="671"/>
      <c r="P389" s="672"/>
    </row>
    <row r="390" spans="1:16" s="642" customFormat="1">
      <c r="A390" s="959"/>
      <c r="B390" s="685"/>
      <c r="C390" s="1426"/>
      <c r="D390" s="950"/>
      <c r="E390" s="674"/>
      <c r="F390" s="674"/>
      <c r="G390" s="674"/>
      <c r="H390" s="671"/>
      <c r="I390" s="671"/>
      <c r="J390" s="671"/>
      <c r="K390" s="671"/>
      <c r="L390" s="671"/>
      <c r="M390" s="671"/>
      <c r="P390" s="672"/>
    </row>
    <row r="391" spans="1:16" s="642" customFormat="1">
      <c r="A391" s="959"/>
      <c r="B391" s="685"/>
      <c r="C391" s="1426"/>
      <c r="D391" s="950"/>
      <c r="E391" s="674"/>
      <c r="F391" s="674"/>
      <c r="G391" s="674"/>
      <c r="H391" s="671"/>
      <c r="I391" s="671"/>
      <c r="J391" s="671"/>
      <c r="K391" s="671"/>
      <c r="L391" s="671"/>
      <c r="M391" s="671"/>
      <c r="P391" s="672"/>
    </row>
    <row r="392" spans="1:16" s="642" customFormat="1">
      <c r="A392" s="959"/>
      <c r="B392" s="685"/>
      <c r="C392" s="1426"/>
      <c r="D392" s="950"/>
      <c r="E392" s="674"/>
      <c r="F392" s="674"/>
      <c r="G392" s="674"/>
      <c r="H392" s="671"/>
      <c r="I392" s="671"/>
      <c r="J392" s="671"/>
      <c r="K392" s="671"/>
      <c r="L392" s="671"/>
      <c r="M392" s="671"/>
      <c r="P392" s="672"/>
    </row>
    <row r="393" spans="1:16" s="642" customFormat="1">
      <c r="A393" s="959"/>
      <c r="B393" s="685"/>
      <c r="C393" s="1426"/>
      <c r="D393" s="950"/>
      <c r="E393" s="674"/>
      <c r="F393" s="674"/>
      <c r="G393" s="674"/>
      <c r="H393" s="671"/>
      <c r="I393" s="671"/>
      <c r="J393" s="671"/>
      <c r="K393" s="671"/>
      <c r="L393" s="671"/>
      <c r="M393" s="671"/>
      <c r="P393" s="672"/>
    </row>
    <row r="394" spans="1:16" s="642" customFormat="1">
      <c r="A394" s="959"/>
      <c r="B394" s="685"/>
      <c r="C394" s="1426"/>
      <c r="D394" s="950"/>
      <c r="E394" s="674"/>
      <c r="F394" s="674"/>
      <c r="G394" s="674"/>
      <c r="H394" s="671"/>
      <c r="I394" s="671"/>
      <c r="J394" s="671"/>
      <c r="K394" s="671"/>
      <c r="L394" s="671"/>
      <c r="M394" s="671"/>
      <c r="P394" s="672"/>
    </row>
    <row r="395" spans="1:16" s="642" customFormat="1">
      <c r="A395" s="959"/>
      <c r="B395" s="685"/>
      <c r="C395" s="1426"/>
      <c r="D395" s="950"/>
      <c r="E395" s="674"/>
      <c r="F395" s="674"/>
      <c r="G395" s="674"/>
      <c r="H395" s="671"/>
      <c r="I395" s="671"/>
      <c r="J395" s="671"/>
      <c r="K395" s="671"/>
      <c r="L395" s="671"/>
      <c r="M395" s="671"/>
      <c r="P395" s="672"/>
    </row>
    <row r="396" spans="1:16" s="642" customFormat="1">
      <c r="A396" s="959"/>
      <c r="B396" s="685"/>
      <c r="C396" s="1426"/>
      <c r="D396" s="950"/>
      <c r="E396" s="674"/>
      <c r="F396" s="674"/>
      <c r="G396" s="674"/>
      <c r="H396" s="671"/>
      <c r="I396" s="671"/>
      <c r="J396" s="671"/>
      <c r="K396" s="671"/>
      <c r="L396" s="671"/>
      <c r="M396" s="671"/>
      <c r="P396" s="672"/>
    </row>
    <row r="397" spans="1:16" s="642" customFormat="1">
      <c r="A397" s="959"/>
      <c r="B397" s="685"/>
      <c r="C397" s="1426"/>
      <c r="D397" s="950"/>
      <c r="E397" s="674"/>
      <c r="F397" s="674"/>
      <c r="G397" s="674"/>
      <c r="H397" s="671"/>
      <c r="I397" s="671"/>
      <c r="J397" s="671"/>
      <c r="K397" s="671"/>
      <c r="L397" s="671"/>
      <c r="M397" s="671"/>
      <c r="P397" s="672"/>
    </row>
    <row r="398" spans="1:16" s="642" customFormat="1">
      <c r="A398" s="959"/>
      <c r="B398" s="685"/>
      <c r="C398" s="1426"/>
      <c r="D398" s="950"/>
      <c r="E398" s="674"/>
      <c r="F398" s="674"/>
      <c r="G398" s="674"/>
      <c r="H398" s="671"/>
      <c r="I398" s="671"/>
      <c r="J398" s="671"/>
      <c r="K398" s="671"/>
      <c r="L398" s="671"/>
      <c r="M398" s="671"/>
      <c r="P398" s="672"/>
    </row>
    <row r="399" spans="1:16" s="642" customFormat="1">
      <c r="A399" s="959"/>
      <c r="B399" s="685"/>
      <c r="C399" s="1426"/>
      <c r="D399" s="950"/>
      <c r="E399" s="674"/>
      <c r="F399" s="674"/>
      <c r="G399" s="674"/>
      <c r="H399" s="671"/>
      <c r="I399" s="671"/>
      <c r="J399" s="671"/>
      <c r="K399" s="671"/>
      <c r="L399" s="671"/>
      <c r="M399" s="671"/>
      <c r="P399" s="672"/>
    </row>
    <row r="400" spans="1:16" s="642" customFormat="1">
      <c r="A400" s="959"/>
      <c r="B400" s="685"/>
      <c r="C400" s="1426"/>
      <c r="D400" s="950"/>
      <c r="E400" s="674"/>
      <c r="F400" s="674"/>
      <c r="G400" s="674"/>
      <c r="H400" s="671"/>
      <c r="I400" s="671"/>
      <c r="J400" s="671"/>
      <c r="K400" s="671"/>
      <c r="L400" s="671"/>
      <c r="M400" s="671"/>
      <c r="P400" s="672"/>
    </row>
    <row r="401" spans="1:16" s="642" customFormat="1">
      <c r="A401" s="959"/>
      <c r="B401" s="685"/>
      <c r="C401" s="1426"/>
      <c r="D401" s="950"/>
      <c r="E401" s="674"/>
      <c r="F401" s="674"/>
      <c r="G401" s="674"/>
      <c r="H401" s="671"/>
      <c r="I401" s="671"/>
      <c r="J401" s="671"/>
      <c r="K401" s="671"/>
      <c r="L401" s="671"/>
      <c r="M401" s="671"/>
      <c r="P401" s="672"/>
    </row>
    <row r="402" spans="1:16" s="642" customFormat="1">
      <c r="A402" s="959"/>
      <c r="B402" s="685"/>
      <c r="C402" s="1426"/>
      <c r="D402" s="950"/>
      <c r="E402" s="674"/>
      <c r="F402" s="674"/>
      <c r="G402" s="674"/>
      <c r="H402" s="671"/>
      <c r="I402" s="671"/>
      <c r="J402" s="671"/>
      <c r="K402" s="671"/>
      <c r="L402" s="671"/>
      <c r="M402" s="671"/>
      <c r="P402" s="672"/>
    </row>
    <row r="403" spans="1:16" s="642" customFormat="1">
      <c r="A403" s="959"/>
      <c r="B403" s="685"/>
      <c r="C403" s="1426"/>
      <c r="D403" s="950"/>
      <c r="E403" s="674"/>
      <c r="F403" s="674"/>
      <c r="G403" s="674"/>
      <c r="H403" s="671"/>
      <c r="I403" s="671"/>
      <c r="J403" s="671"/>
      <c r="K403" s="671"/>
      <c r="L403" s="671"/>
      <c r="M403" s="671"/>
      <c r="P403" s="672"/>
    </row>
    <row r="404" spans="1:16" s="642" customFormat="1">
      <c r="A404" s="959"/>
      <c r="B404" s="685"/>
      <c r="C404" s="1426"/>
      <c r="D404" s="950"/>
      <c r="E404" s="674"/>
      <c r="F404" s="674"/>
      <c r="G404" s="674"/>
      <c r="H404" s="671"/>
      <c r="I404" s="671"/>
      <c r="J404" s="671"/>
      <c r="K404" s="671"/>
      <c r="L404" s="671"/>
      <c r="M404" s="671"/>
      <c r="P404" s="672"/>
    </row>
    <row r="405" spans="1:16" s="642" customFormat="1">
      <c r="A405" s="959"/>
      <c r="B405" s="685"/>
      <c r="C405" s="1426"/>
      <c r="D405" s="950"/>
      <c r="E405" s="674"/>
      <c r="F405" s="674"/>
      <c r="G405" s="674"/>
      <c r="H405" s="671"/>
      <c r="I405" s="671"/>
      <c r="J405" s="671"/>
      <c r="K405" s="671"/>
      <c r="L405" s="671"/>
      <c r="M405" s="671"/>
      <c r="P405" s="672"/>
    </row>
    <row r="406" spans="1:16" s="642" customFormat="1">
      <c r="A406" s="959"/>
      <c r="B406" s="685"/>
      <c r="C406" s="1426"/>
      <c r="D406" s="950"/>
      <c r="E406" s="674"/>
      <c r="F406" s="674"/>
      <c r="G406" s="674"/>
      <c r="H406" s="671"/>
      <c r="I406" s="671"/>
      <c r="J406" s="671"/>
      <c r="K406" s="671"/>
      <c r="L406" s="671"/>
      <c r="M406" s="671"/>
      <c r="P406" s="672"/>
    </row>
    <row r="407" spans="1:16" s="642" customFormat="1">
      <c r="A407" s="959"/>
      <c r="B407" s="685"/>
      <c r="C407" s="1426"/>
      <c r="D407" s="950"/>
      <c r="E407" s="674"/>
      <c r="F407" s="674"/>
      <c r="G407" s="674"/>
      <c r="H407" s="671"/>
      <c r="I407" s="671"/>
      <c r="J407" s="671"/>
      <c r="K407" s="671"/>
      <c r="L407" s="671"/>
      <c r="M407" s="671"/>
      <c r="P407" s="672"/>
    </row>
    <row r="408" spans="1:16" s="642" customFormat="1">
      <c r="A408" s="959"/>
      <c r="B408" s="685"/>
      <c r="C408" s="1426"/>
      <c r="D408" s="950"/>
      <c r="E408" s="674"/>
      <c r="F408" s="674"/>
      <c r="G408" s="674"/>
      <c r="H408" s="671"/>
      <c r="I408" s="671"/>
      <c r="J408" s="671"/>
      <c r="K408" s="671"/>
      <c r="L408" s="671"/>
      <c r="M408" s="671"/>
      <c r="P408" s="672"/>
    </row>
    <row r="409" spans="1:16" s="642" customFormat="1">
      <c r="A409" s="959"/>
      <c r="B409" s="685"/>
      <c r="C409" s="1426"/>
      <c r="D409" s="950"/>
      <c r="E409" s="674"/>
      <c r="F409" s="674"/>
      <c r="G409" s="674"/>
      <c r="H409" s="671"/>
      <c r="I409" s="671"/>
      <c r="J409" s="671"/>
      <c r="K409" s="671"/>
      <c r="L409" s="671"/>
      <c r="M409" s="671"/>
      <c r="P409" s="672"/>
    </row>
    <row r="410" spans="1:16" s="642" customFormat="1">
      <c r="A410" s="959"/>
      <c r="B410" s="685"/>
      <c r="C410" s="1426"/>
      <c r="D410" s="950"/>
      <c r="E410" s="674"/>
      <c r="F410" s="674"/>
      <c r="G410" s="674"/>
      <c r="H410" s="671"/>
      <c r="I410" s="671"/>
      <c r="J410" s="671"/>
      <c r="K410" s="671"/>
      <c r="L410" s="671"/>
      <c r="M410" s="671"/>
      <c r="P410" s="672"/>
    </row>
    <row r="411" spans="1:16" s="642" customFormat="1">
      <c r="A411" s="959"/>
      <c r="B411" s="685"/>
      <c r="C411" s="1426"/>
      <c r="D411" s="950"/>
      <c r="E411" s="674"/>
      <c r="F411" s="674"/>
      <c r="G411" s="674"/>
      <c r="H411" s="671"/>
      <c r="I411" s="671"/>
      <c r="J411" s="671"/>
      <c r="K411" s="671"/>
      <c r="L411" s="671"/>
      <c r="M411" s="671"/>
      <c r="P411" s="672"/>
    </row>
    <row r="412" spans="1:16" s="642" customFormat="1">
      <c r="A412" s="959"/>
      <c r="B412" s="685"/>
      <c r="C412" s="1426"/>
      <c r="D412" s="950"/>
      <c r="E412" s="674"/>
      <c r="F412" s="674"/>
      <c r="G412" s="674"/>
      <c r="H412" s="671"/>
      <c r="I412" s="671"/>
      <c r="J412" s="671"/>
      <c r="K412" s="671"/>
      <c r="L412" s="671"/>
      <c r="M412" s="671"/>
      <c r="P412" s="672"/>
    </row>
    <row r="413" spans="1:16" s="642" customFormat="1">
      <c r="A413" s="959"/>
      <c r="B413" s="685"/>
      <c r="C413" s="1426"/>
      <c r="D413" s="950"/>
      <c r="E413" s="674"/>
      <c r="F413" s="674"/>
      <c r="G413" s="674"/>
      <c r="H413" s="671"/>
      <c r="I413" s="671"/>
      <c r="J413" s="671"/>
      <c r="K413" s="671"/>
      <c r="L413" s="671"/>
      <c r="M413" s="671"/>
      <c r="P413" s="672"/>
    </row>
    <row r="414" spans="1:16" s="642" customFormat="1">
      <c r="A414" s="959"/>
      <c r="B414" s="685"/>
      <c r="C414" s="1426"/>
      <c r="D414" s="950"/>
      <c r="E414" s="674"/>
      <c r="F414" s="674"/>
      <c r="G414" s="674"/>
      <c r="H414" s="671"/>
      <c r="I414" s="671"/>
      <c r="J414" s="671"/>
      <c r="K414" s="671"/>
      <c r="L414" s="671"/>
      <c r="M414" s="671"/>
      <c r="P414" s="672"/>
    </row>
    <row r="415" spans="1:16" s="642" customFormat="1">
      <c r="A415" s="959"/>
      <c r="B415" s="685"/>
      <c r="C415" s="1426"/>
      <c r="D415" s="950"/>
      <c r="E415" s="674"/>
      <c r="F415" s="674"/>
      <c r="G415" s="674"/>
      <c r="H415" s="671"/>
      <c r="I415" s="671"/>
      <c r="J415" s="671"/>
      <c r="K415" s="671"/>
      <c r="L415" s="671"/>
      <c r="M415" s="671"/>
      <c r="P415" s="672"/>
    </row>
    <row r="416" spans="1:16" s="642" customFormat="1">
      <c r="A416" s="959"/>
      <c r="B416" s="685"/>
      <c r="C416" s="1426"/>
      <c r="D416" s="950"/>
      <c r="E416" s="674"/>
      <c r="F416" s="674"/>
      <c r="G416" s="674"/>
      <c r="H416" s="671"/>
      <c r="I416" s="671"/>
      <c r="J416" s="671"/>
      <c r="K416" s="671"/>
      <c r="L416" s="671"/>
      <c r="M416" s="671"/>
      <c r="P416" s="672"/>
    </row>
    <row r="417" spans="1:16" s="642" customFormat="1">
      <c r="A417" s="959"/>
      <c r="B417" s="685"/>
      <c r="C417" s="1426"/>
      <c r="D417" s="950"/>
      <c r="E417" s="674"/>
      <c r="F417" s="674"/>
      <c r="G417" s="674"/>
      <c r="H417" s="671"/>
      <c r="I417" s="671"/>
      <c r="J417" s="671"/>
      <c r="K417" s="671"/>
      <c r="L417" s="671"/>
      <c r="M417" s="671"/>
      <c r="P417" s="672"/>
    </row>
    <row r="418" spans="1:16" s="642" customFormat="1">
      <c r="A418" s="959"/>
      <c r="B418" s="685"/>
      <c r="C418" s="1426"/>
      <c r="D418" s="950"/>
      <c r="E418" s="674"/>
      <c r="F418" s="674"/>
      <c r="G418" s="674"/>
      <c r="H418" s="671"/>
      <c r="I418" s="671"/>
      <c r="J418" s="671"/>
      <c r="K418" s="671"/>
      <c r="L418" s="671"/>
      <c r="M418" s="671"/>
      <c r="P418" s="672"/>
    </row>
    <row r="419" spans="1:16" s="642" customFormat="1">
      <c r="A419" s="959"/>
      <c r="B419" s="685"/>
      <c r="C419" s="1426"/>
      <c r="D419" s="950"/>
      <c r="E419" s="674"/>
      <c r="F419" s="674"/>
      <c r="G419" s="674"/>
      <c r="H419" s="671"/>
      <c r="I419" s="671"/>
      <c r="J419" s="671"/>
      <c r="K419" s="671"/>
      <c r="L419" s="671"/>
      <c r="M419" s="671"/>
      <c r="P419" s="672"/>
    </row>
    <row r="420" spans="1:16" s="642" customFormat="1">
      <c r="A420" s="959"/>
      <c r="B420" s="685"/>
      <c r="C420" s="1426"/>
      <c r="D420" s="950"/>
      <c r="E420" s="674"/>
      <c r="F420" s="674"/>
      <c r="G420" s="674"/>
      <c r="H420" s="671"/>
      <c r="I420" s="671"/>
      <c r="J420" s="671"/>
      <c r="K420" s="671"/>
      <c r="L420" s="671"/>
      <c r="M420" s="671"/>
      <c r="P420" s="672"/>
    </row>
    <row r="421" spans="1:16" s="642" customFormat="1">
      <c r="A421" s="959"/>
      <c r="B421" s="685"/>
      <c r="C421" s="1426"/>
      <c r="D421" s="950"/>
      <c r="E421" s="674"/>
      <c r="F421" s="674"/>
      <c r="G421" s="674"/>
      <c r="H421" s="671"/>
      <c r="I421" s="671"/>
      <c r="J421" s="671"/>
      <c r="K421" s="671"/>
      <c r="L421" s="671"/>
      <c r="M421" s="671"/>
      <c r="P421" s="672"/>
    </row>
    <row r="422" spans="1:16" s="642" customFormat="1">
      <c r="A422" s="959"/>
      <c r="B422" s="685"/>
      <c r="C422" s="1426"/>
      <c r="D422" s="950"/>
      <c r="E422" s="674"/>
      <c r="F422" s="674"/>
      <c r="G422" s="674"/>
      <c r="H422" s="671"/>
      <c r="I422" s="671"/>
      <c r="J422" s="671"/>
      <c r="K422" s="671"/>
      <c r="L422" s="671"/>
      <c r="M422" s="671"/>
      <c r="P422" s="672"/>
    </row>
    <row r="423" spans="1:16" s="642" customFormat="1">
      <c r="A423" s="959"/>
      <c r="B423" s="685"/>
      <c r="C423" s="1426"/>
      <c r="D423" s="950"/>
      <c r="E423" s="674"/>
      <c r="F423" s="674"/>
      <c r="G423" s="674"/>
      <c r="H423" s="671"/>
      <c r="I423" s="671"/>
      <c r="J423" s="671"/>
      <c r="K423" s="671"/>
      <c r="L423" s="671"/>
      <c r="M423" s="671"/>
      <c r="P423" s="672"/>
    </row>
    <row r="424" spans="1:16" s="642" customFormat="1">
      <c r="A424" s="959"/>
      <c r="B424" s="685"/>
      <c r="C424" s="1426"/>
      <c r="D424" s="950"/>
      <c r="E424" s="674"/>
      <c r="F424" s="674"/>
      <c r="G424" s="674"/>
      <c r="H424" s="671"/>
      <c r="I424" s="671"/>
      <c r="J424" s="671"/>
      <c r="K424" s="671"/>
      <c r="L424" s="671"/>
      <c r="M424" s="671"/>
      <c r="P424" s="672"/>
    </row>
    <row r="425" spans="1:16" s="642" customFormat="1">
      <c r="A425" s="959"/>
      <c r="B425" s="685"/>
      <c r="C425" s="1426"/>
      <c r="D425" s="950"/>
      <c r="E425" s="674"/>
      <c r="F425" s="674"/>
      <c r="G425" s="674"/>
      <c r="H425" s="671"/>
      <c r="I425" s="671"/>
      <c r="J425" s="671"/>
      <c r="K425" s="671"/>
      <c r="L425" s="671"/>
      <c r="M425" s="671"/>
      <c r="P425" s="672"/>
    </row>
    <row r="426" spans="1:16" s="642" customFormat="1">
      <c r="A426" s="959"/>
      <c r="B426" s="685"/>
      <c r="C426" s="1426"/>
      <c r="D426" s="950"/>
      <c r="E426" s="674"/>
      <c r="F426" s="674"/>
      <c r="G426" s="674"/>
      <c r="H426" s="671"/>
      <c r="I426" s="671"/>
      <c r="J426" s="671"/>
      <c r="K426" s="671"/>
      <c r="L426" s="671"/>
      <c r="M426" s="671"/>
      <c r="P426" s="672"/>
    </row>
    <row r="427" spans="1:16" s="642" customFormat="1">
      <c r="A427" s="959"/>
      <c r="B427" s="685"/>
      <c r="C427" s="1426"/>
      <c r="D427" s="950"/>
      <c r="E427" s="674"/>
      <c r="F427" s="674"/>
      <c r="G427" s="674"/>
      <c r="H427" s="671"/>
      <c r="I427" s="671"/>
      <c r="J427" s="671"/>
      <c r="K427" s="671"/>
      <c r="L427" s="671"/>
      <c r="M427" s="671"/>
      <c r="P427" s="672"/>
    </row>
    <row r="428" spans="1:16" s="642" customFormat="1">
      <c r="A428" s="959"/>
      <c r="B428" s="685"/>
      <c r="C428" s="1426"/>
      <c r="D428" s="950"/>
      <c r="E428" s="674"/>
      <c r="F428" s="674"/>
      <c r="G428" s="674"/>
      <c r="H428" s="671"/>
      <c r="I428" s="671"/>
      <c r="J428" s="671"/>
      <c r="K428" s="671"/>
      <c r="L428" s="671"/>
      <c r="M428" s="671"/>
      <c r="P428" s="672"/>
    </row>
    <row r="429" spans="1:16" s="642" customFormat="1">
      <c r="A429" s="959"/>
      <c r="B429" s="685"/>
      <c r="C429" s="1426"/>
      <c r="D429" s="950"/>
      <c r="E429" s="674"/>
      <c r="F429" s="674"/>
      <c r="G429" s="674"/>
      <c r="H429" s="671"/>
      <c r="I429" s="671"/>
      <c r="J429" s="671"/>
      <c r="K429" s="671"/>
      <c r="L429" s="671"/>
      <c r="M429" s="671"/>
      <c r="P429" s="672"/>
    </row>
    <row r="430" spans="1:16" s="642" customFormat="1">
      <c r="A430" s="959"/>
      <c r="B430" s="685"/>
      <c r="C430" s="1426"/>
      <c r="D430" s="950"/>
      <c r="E430" s="674"/>
      <c r="F430" s="674"/>
      <c r="G430" s="674"/>
      <c r="H430" s="671"/>
      <c r="I430" s="671"/>
      <c r="J430" s="671"/>
      <c r="K430" s="671"/>
      <c r="L430" s="671"/>
      <c r="M430" s="671"/>
      <c r="P430" s="672"/>
    </row>
    <row r="431" spans="1:16" s="642" customFormat="1">
      <c r="A431" s="959"/>
      <c r="B431" s="685"/>
      <c r="C431" s="1426"/>
      <c r="D431" s="950"/>
      <c r="E431" s="674"/>
      <c r="F431" s="674"/>
      <c r="G431" s="674"/>
      <c r="H431" s="671"/>
      <c r="I431" s="671"/>
      <c r="J431" s="671"/>
      <c r="K431" s="671"/>
      <c r="L431" s="671"/>
      <c r="M431" s="671"/>
      <c r="P431" s="672"/>
    </row>
    <row r="432" spans="1:16" s="642" customFormat="1">
      <c r="A432" s="959"/>
      <c r="B432" s="685"/>
      <c r="C432" s="1426"/>
      <c r="D432" s="950"/>
      <c r="E432" s="674"/>
      <c r="F432" s="674"/>
      <c r="G432" s="674"/>
      <c r="H432" s="671"/>
      <c r="I432" s="671"/>
      <c r="J432" s="671"/>
      <c r="K432" s="671"/>
      <c r="L432" s="671"/>
      <c r="M432" s="671"/>
      <c r="P432" s="672"/>
    </row>
    <row r="433" spans="1:16" s="642" customFormat="1">
      <c r="A433" s="959"/>
      <c r="B433" s="685"/>
      <c r="C433" s="1426"/>
      <c r="D433" s="950"/>
      <c r="E433" s="674"/>
      <c r="F433" s="674"/>
      <c r="G433" s="674"/>
      <c r="H433" s="671"/>
      <c r="I433" s="671"/>
      <c r="J433" s="671"/>
      <c r="K433" s="671"/>
      <c r="L433" s="671"/>
      <c r="M433" s="671"/>
      <c r="P433" s="672"/>
    </row>
    <row r="434" spans="1:16" s="642" customFormat="1">
      <c r="A434" s="959"/>
      <c r="B434" s="685"/>
      <c r="C434" s="1426"/>
      <c r="D434" s="950"/>
      <c r="E434" s="674"/>
      <c r="F434" s="674"/>
      <c r="G434" s="674"/>
      <c r="H434" s="671"/>
      <c r="I434" s="671"/>
      <c r="J434" s="671"/>
      <c r="K434" s="671"/>
      <c r="L434" s="671"/>
      <c r="M434" s="671"/>
      <c r="P434" s="672"/>
    </row>
    <row r="435" spans="1:16" s="642" customFormat="1">
      <c r="A435" s="959"/>
      <c r="B435" s="685"/>
      <c r="C435" s="1426"/>
      <c r="D435" s="950"/>
      <c r="E435" s="674"/>
      <c r="F435" s="674"/>
      <c r="G435" s="674"/>
      <c r="H435" s="671"/>
      <c r="I435" s="671"/>
      <c r="J435" s="671"/>
      <c r="K435" s="671"/>
      <c r="L435" s="671"/>
      <c r="M435" s="671"/>
      <c r="P435" s="672"/>
    </row>
    <row r="436" spans="1:16" s="642" customFormat="1">
      <c r="A436" s="959"/>
      <c r="B436" s="685"/>
      <c r="C436" s="1426"/>
      <c r="D436" s="950"/>
      <c r="E436" s="674"/>
      <c r="F436" s="674"/>
      <c r="G436" s="674"/>
      <c r="H436" s="671"/>
      <c r="I436" s="671"/>
      <c r="J436" s="671"/>
      <c r="K436" s="671"/>
      <c r="L436" s="671"/>
      <c r="M436" s="671"/>
      <c r="P436" s="672"/>
    </row>
    <row r="437" spans="1:16" s="642" customFormat="1">
      <c r="A437" s="959"/>
      <c r="B437" s="685"/>
      <c r="C437" s="1426"/>
      <c r="D437" s="950"/>
      <c r="E437" s="674"/>
      <c r="F437" s="674"/>
      <c r="G437" s="674"/>
      <c r="H437" s="671"/>
      <c r="I437" s="671"/>
      <c r="J437" s="671"/>
      <c r="K437" s="671"/>
      <c r="L437" s="671"/>
      <c r="M437" s="671"/>
      <c r="P437" s="672"/>
    </row>
    <row r="438" spans="1:16" s="642" customFormat="1">
      <c r="A438" s="959"/>
      <c r="B438" s="685"/>
      <c r="C438" s="1426"/>
      <c r="D438" s="950"/>
      <c r="E438" s="674"/>
      <c r="F438" s="674"/>
      <c r="G438" s="674"/>
      <c r="H438" s="671"/>
      <c r="I438" s="671"/>
      <c r="J438" s="671"/>
      <c r="K438" s="671"/>
      <c r="L438" s="671"/>
      <c r="M438" s="671"/>
      <c r="P438" s="672"/>
    </row>
    <row r="439" spans="1:16" s="642" customFormat="1">
      <c r="A439" s="959"/>
      <c r="B439" s="685"/>
      <c r="C439" s="1426"/>
      <c r="D439" s="950"/>
      <c r="E439" s="674"/>
      <c r="F439" s="674"/>
      <c r="G439" s="674"/>
      <c r="H439" s="671"/>
      <c r="I439" s="671"/>
      <c r="J439" s="671"/>
      <c r="K439" s="671"/>
      <c r="L439" s="671"/>
      <c r="M439" s="671"/>
      <c r="P439" s="672"/>
    </row>
    <row r="440" spans="1:16" s="642" customFormat="1">
      <c r="A440" s="959"/>
      <c r="B440" s="685"/>
      <c r="C440" s="1426"/>
      <c r="D440" s="950"/>
      <c r="E440" s="674"/>
      <c r="F440" s="674"/>
      <c r="G440" s="674"/>
      <c r="H440" s="671"/>
      <c r="I440" s="671"/>
      <c r="J440" s="671"/>
      <c r="K440" s="671"/>
      <c r="L440" s="671"/>
      <c r="M440" s="671"/>
      <c r="P440" s="672"/>
    </row>
    <row r="441" spans="1:16" s="642" customFormat="1">
      <c r="A441" s="959"/>
      <c r="B441" s="685"/>
      <c r="C441" s="1426"/>
      <c r="D441" s="950"/>
      <c r="E441" s="674"/>
      <c r="F441" s="674"/>
      <c r="G441" s="674"/>
      <c r="H441" s="671"/>
      <c r="I441" s="671"/>
      <c r="J441" s="671"/>
      <c r="K441" s="671"/>
      <c r="L441" s="671"/>
      <c r="M441" s="671"/>
      <c r="P441" s="672"/>
    </row>
    <row r="442" spans="1:16" s="642" customFormat="1">
      <c r="A442" s="959"/>
      <c r="B442" s="685"/>
      <c r="C442" s="1426"/>
      <c r="D442" s="950"/>
      <c r="E442" s="674"/>
      <c r="F442" s="674"/>
      <c r="G442" s="674"/>
      <c r="H442" s="671"/>
      <c r="I442" s="671"/>
      <c r="J442" s="671"/>
      <c r="K442" s="671"/>
      <c r="L442" s="671"/>
      <c r="M442" s="671"/>
      <c r="P442" s="672"/>
    </row>
    <row r="443" spans="1:16" s="642" customFormat="1">
      <c r="A443" s="959"/>
      <c r="B443" s="685"/>
      <c r="C443" s="1426"/>
      <c r="D443" s="950"/>
      <c r="E443" s="674"/>
      <c r="F443" s="674"/>
      <c r="G443" s="674"/>
      <c r="H443" s="671"/>
      <c r="I443" s="671"/>
      <c r="J443" s="671"/>
      <c r="K443" s="671"/>
      <c r="L443" s="671"/>
      <c r="M443" s="671"/>
      <c r="P443" s="672"/>
    </row>
    <row r="444" spans="1:16" s="642" customFormat="1">
      <c r="A444" s="959"/>
      <c r="B444" s="685"/>
      <c r="C444" s="1426"/>
      <c r="D444" s="950"/>
      <c r="E444" s="674"/>
      <c r="F444" s="674"/>
      <c r="G444" s="674"/>
      <c r="H444" s="671"/>
      <c r="I444" s="671"/>
      <c r="J444" s="671"/>
      <c r="K444" s="671"/>
      <c r="L444" s="671"/>
      <c r="M444" s="671"/>
      <c r="P444" s="672"/>
    </row>
    <row r="445" spans="1:16" s="642" customFormat="1">
      <c r="A445" s="959"/>
      <c r="B445" s="685"/>
      <c r="C445" s="1426"/>
      <c r="D445" s="950"/>
      <c r="E445" s="674"/>
      <c r="F445" s="674"/>
      <c r="G445" s="674"/>
      <c r="H445" s="671"/>
      <c r="I445" s="671"/>
      <c r="J445" s="671"/>
      <c r="K445" s="671"/>
      <c r="L445" s="671"/>
      <c r="M445" s="671"/>
      <c r="P445" s="672"/>
    </row>
    <row r="446" spans="1:16" s="642" customFormat="1">
      <c r="A446" s="959"/>
      <c r="B446" s="685"/>
      <c r="C446" s="1426"/>
      <c r="D446" s="950"/>
      <c r="E446" s="674"/>
      <c r="F446" s="674"/>
      <c r="G446" s="674"/>
      <c r="H446" s="671"/>
      <c r="I446" s="671"/>
      <c r="J446" s="671"/>
      <c r="K446" s="671"/>
      <c r="L446" s="671"/>
      <c r="M446" s="671"/>
      <c r="P446" s="672"/>
    </row>
    <row r="447" spans="1:16" s="642" customFormat="1">
      <c r="A447" s="959"/>
      <c r="B447" s="685"/>
      <c r="C447" s="1426"/>
      <c r="D447" s="950"/>
      <c r="E447" s="674"/>
      <c r="F447" s="674"/>
      <c r="G447" s="674"/>
      <c r="H447" s="671"/>
      <c r="I447" s="671"/>
      <c r="J447" s="671"/>
      <c r="K447" s="671"/>
      <c r="L447" s="671"/>
      <c r="M447" s="671"/>
      <c r="P447" s="672"/>
    </row>
    <row r="448" spans="1:16" s="642" customFormat="1">
      <c r="A448" s="959"/>
      <c r="B448" s="685"/>
      <c r="C448" s="1426"/>
      <c r="D448" s="950"/>
      <c r="E448" s="674"/>
      <c r="F448" s="674"/>
      <c r="G448" s="674"/>
      <c r="H448" s="671"/>
      <c r="I448" s="671"/>
      <c r="J448" s="671"/>
      <c r="K448" s="671"/>
      <c r="L448" s="671"/>
      <c r="M448" s="671"/>
      <c r="P448" s="672"/>
    </row>
    <row r="449" spans="1:125" s="642" customFormat="1">
      <c r="A449" s="959"/>
      <c r="B449" s="685"/>
      <c r="C449" s="1426"/>
      <c r="D449" s="950"/>
      <c r="E449" s="674"/>
      <c r="F449" s="674"/>
      <c r="G449" s="674"/>
      <c r="H449" s="671"/>
      <c r="I449" s="671"/>
      <c r="J449" s="671"/>
      <c r="K449" s="671"/>
      <c r="L449" s="671"/>
      <c r="M449" s="671"/>
      <c r="P449" s="672"/>
    </row>
    <row r="450" spans="1:125" s="642" customFormat="1">
      <c r="A450" s="959"/>
      <c r="B450" s="685"/>
      <c r="C450" s="1426"/>
      <c r="D450" s="950"/>
      <c r="E450" s="674"/>
      <c r="F450" s="674"/>
      <c r="G450" s="674"/>
      <c r="H450" s="671"/>
      <c r="I450" s="671"/>
      <c r="J450" s="671"/>
      <c r="K450" s="671"/>
      <c r="L450" s="671"/>
      <c r="M450" s="671"/>
      <c r="P450" s="672"/>
    </row>
    <row r="451" spans="1:125" s="642" customFormat="1">
      <c r="A451" s="959"/>
      <c r="B451" s="685"/>
      <c r="C451" s="1426"/>
      <c r="D451" s="950"/>
      <c r="E451" s="674"/>
      <c r="F451" s="674"/>
      <c r="G451" s="674"/>
      <c r="H451" s="671"/>
      <c r="I451" s="671"/>
      <c r="J451" s="671"/>
      <c r="K451" s="671"/>
      <c r="L451" s="671"/>
      <c r="M451" s="671"/>
      <c r="P451" s="672"/>
    </row>
    <row r="452" spans="1:125" s="642" customFormat="1">
      <c r="A452" s="959"/>
      <c r="B452" s="685"/>
      <c r="C452" s="1426"/>
      <c r="D452" s="950"/>
      <c r="E452" s="674"/>
      <c r="F452" s="674"/>
      <c r="G452" s="674"/>
      <c r="H452" s="671"/>
      <c r="I452" s="671"/>
      <c r="J452" s="671"/>
      <c r="K452" s="671"/>
      <c r="L452" s="671"/>
      <c r="M452" s="671"/>
      <c r="P452" s="672"/>
    </row>
    <row r="453" spans="1:125" s="642" customFormat="1">
      <c r="A453" s="959"/>
      <c r="B453" s="685"/>
      <c r="C453" s="1426"/>
      <c r="D453" s="950"/>
      <c r="E453" s="674"/>
      <c r="F453" s="674"/>
      <c r="G453" s="674"/>
      <c r="H453" s="671"/>
      <c r="I453" s="671"/>
      <c r="J453" s="671"/>
      <c r="K453" s="671"/>
      <c r="L453" s="671"/>
      <c r="M453" s="671"/>
      <c r="P453" s="672"/>
    </row>
    <row r="454" spans="1:125" s="667" customFormat="1">
      <c r="A454" s="960"/>
      <c r="B454" s="1065"/>
      <c r="C454" s="1427"/>
      <c r="D454" s="951"/>
      <c r="E454" s="669"/>
      <c r="F454" s="669"/>
      <c r="G454" s="669"/>
      <c r="H454" s="670"/>
      <c r="I454" s="670"/>
      <c r="J454" s="670"/>
      <c r="K454" s="670"/>
      <c r="L454" s="670"/>
      <c r="M454" s="670"/>
      <c r="P454" s="688"/>
      <c r="Q454" s="642"/>
      <c r="R454" s="642"/>
      <c r="S454" s="642"/>
      <c r="T454" s="642"/>
      <c r="U454" s="642"/>
      <c r="V454" s="642"/>
      <c r="W454" s="642"/>
      <c r="X454" s="642"/>
      <c r="Y454" s="642"/>
      <c r="Z454" s="642"/>
      <c r="AA454" s="642"/>
      <c r="AB454" s="642"/>
      <c r="AC454" s="642"/>
      <c r="AD454" s="642"/>
      <c r="AE454" s="642"/>
      <c r="AF454" s="642"/>
      <c r="AG454" s="642"/>
      <c r="AH454" s="642"/>
      <c r="AI454" s="642"/>
      <c r="AJ454" s="642"/>
      <c r="AK454" s="642"/>
      <c r="AL454" s="642"/>
      <c r="AM454" s="642"/>
      <c r="AN454" s="642"/>
      <c r="AO454" s="642"/>
      <c r="AP454" s="642"/>
      <c r="AQ454" s="642"/>
      <c r="AR454" s="642"/>
      <c r="AS454" s="642"/>
      <c r="AT454" s="642"/>
      <c r="AU454" s="642"/>
      <c r="AV454" s="642"/>
      <c r="AW454" s="642"/>
      <c r="AX454" s="642"/>
      <c r="AY454" s="642"/>
      <c r="AZ454" s="642"/>
      <c r="BA454" s="642"/>
      <c r="BB454" s="642"/>
      <c r="BC454" s="642"/>
      <c r="BD454" s="642"/>
      <c r="BE454" s="642"/>
      <c r="BF454" s="642"/>
      <c r="BG454" s="642"/>
      <c r="BH454" s="642"/>
      <c r="BI454" s="642"/>
      <c r="BJ454" s="642"/>
      <c r="BK454" s="642"/>
      <c r="BL454" s="642"/>
      <c r="BM454" s="642"/>
      <c r="BN454" s="642"/>
      <c r="BO454" s="642"/>
      <c r="BP454" s="642"/>
      <c r="BQ454" s="642"/>
      <c r="BR454" s="642"/>
      <c r="BS454" s="642"/>
      <c r="BT454" s="642"/>
      <c r="BU454" s="642"/>
      <c r="BV454" s="642"/>
      <c r="BW454" s="642"/>
      <c r="BX454" s="642"/>
      <c r="BY454" s="642"/>
      <c r="BZ454" s="642"/>
      <c r="CA454" s="642"/>
      <c r="CB454" s="642"/>
      <c r="CC454" s="642"/>
      <c r="CD454" s="642"/>
      <c r="CE454" s="642"/>
      <c r="CF454" s="642"/>
      <c r="CG454" s="642"/>
      <c r="CH454" s="642"/>
      <c r="CI454" s="642"/>
      <c r="CJ454" s="642"/>
      <c r="CK454" s="642"/>
      <c r="CL454" s="642"/>
      <c r="CM454" s="642"/>
      <c r="CN454" s="642"/>
      <c r="CO454" s="642"/>
      <c r="CP454" s="642"/>
      <c r="CQ454" s="642"/>
      <c r="CR454" s="642"/>
      <c r="CS454" s="642"/>
      <c r="CT454" s="642"/>
      <c r="CU454" s="642"/>
      <c r="CV454" s="642"/>
      <c r="CW454" s="642"/>
      <c r="CX454" s="642"/>
      <c r="CY454" s="642"/>
      <c r="CZ454" s="642"/>
      <c r="DA454" s="642"/>
      <c r="DB454" s="642"/>
      <c r="DC454" s="642"/>
      <c r="DD454" s="642"/>
      <c r="DE454" s="642"/>
      <c r="DF454" s="642"/>
      <c r="DG454" s="642"/>
      <c r="DH454" s="642"/>
      <c r="DI454" s="642"/>
      <c r="DJ454" s="642"/>
      <c r="DK454" s="642"/>
      <c r="DL454" s="642"/>
      <c r="DM454" s="642"/>
      <c r="DN454" s="642"/>
      <c r="DO454" s="642"/>
      <c r="DP454" s="642"/>
      <c r="DQ454" s="642"/>
      <c r="DR454" s="642"/>
      <c r="DS454" s="642"/>
      <c r="DT454" s="642"/>
      <c r="DU454" s="642"/>
    </row>
    <row r="455" spans="1:125">
      <c r="A455" s="961"/>
      <c r="B455" s="1066"/>
      <c r="C455" s="1428"/>
      <c r="D455" s="952"/>
      <c r="E455" s="607"/>
      <c r="F455" s="607"/>
      <c r="G455" s="607"/>
      <c r="H455" s="605"/>
      <c r="I455" s="605"/>
      <c r="J455" s="605"/>
      <c r="K455" s="605"/>
      <c r="L455" s="605"/>
      <c r="M455" s="605"/>
      <c r="N455" s="594"/>
      <c r="O455" s="594"/>
    </row>
    <row r="456" spans="1:125">
      <c r="A456" s="961"/>
      <c r="B456" s="1066"/>
      <c r="C456" s="1428"/>
      <c r="D456" s="952"/>
      <c r="E456" s="607"/>
      <c r="F456" s="607"/>
      <c r="G456" s="607"/>
      <c r="H456" s="605"/>
      <c r="I456" s="605"/>
      <c r="J456" s="605"/>
      <c r="K456" s="605"/>
      <c r="L456" s="605"/>
      <c r="M456" s="605"/>
      <c r="N456" s="594"/>
      <c r="O456" s="594"/>
    </row>
    <row r="457" spans="1:125">
      <c r="A457" s="961"/>
      <c r="B457" s="1066"/>
      <c r="C457" s="1428"/>
      <c r="D457" s="952"/>
      <c r="E457" s="607"/>
      <c r="F457" s="607"/>
      <c r="G457" s="607"/>
      <c r="H457" s="605"/>
      <c r="I457" s="605"/>
      <c r="J457" s="605"/>
      <c r="K457" s="605"/>
      <c r="L457" s="605"/>
      <c r="M457" s="605"/>
      <c r="N457" s="594"/>
      <c r="O457" s="594"/>
    </row>
    <row r="458" spans="1:125">
      <c r="A458" s="961"/>
      <c r="B458" s="1066"/>
      <c r="C458" s="1428"/>
      <c r="D458" s="952"/>
      <c r="E458" s="607"/>
      <c r="F458" s="607"/>
      <c r="G458" s="607"/>
      <c r="H458" s="605"/>
      <c r="I458" s="605"/>
      <c r="J458" s="605"/>
      <c r="K458" s="605"/>
      <c r="L458" s="605"/>
      <c r="M458" s="605"/>
      <c r="N458" s="594"/>
      <c r="O458" s="594"/>
    </row>
    <row r="459" spans="1:125">
      <c r="A459" s="961"/>
      <c r="B459" s="1066"/>
      <c r="C459" s="1428"/>
      <c r="D459" s="952"/>
      <c r="E459" s="607"/>
      <c r="F459" s="607"/>
      <c r="G459" s="607"/>
      <c r="H459" s="605"/>
      <c r="I459" s="605"/>
      <c r="J459" s="605"/>
      <c r="K459" s="605"/>
      <c r="L459" s="605"/>
      <c r="M459" s="605"/>
      <c r="N459" s="594"/>
      <c r="O459" s="594"/>
    </row>
    <row r="460" spans="1:125">
      <c r="A460" s="961"/>
      <c r="B460" s="1066"/>
      <c r="C460" s="1428"/>
      <c r="D460" s="952"/>
      <c r="E460" s="607"/>
      <c r="F460" s="607"/>
      <c r="G460" s="607"/>
      <c r="H460" s="605"/>
      <c r="I460" s="605"/>
      <c r="J460" s="605"/>
      <c r="K460" s="605"/>
      <c r="L460" s="605"/>
      <c r="M460" s="605"/>
      <c r="N460" s="594"/>
      <c r="O460" s="594"/>
    </row>
    <row r="461" spans="1:125">
      <c r="A461" s="961"/>
      <c r="B461" s="1066"/>
      <c r="C461" s="1428"/>
      <c r="D461" s="952"/>
      <c r="E461" s="607"/>
      <c r="F461" s="607"/>
      <c r="G461" s="607"/>
      <c r="H461" s="605"/>
      <c r="I461" s="605"/>
      <c r="J461" s="605"/>
      <c r="K461" s="605"/>
      <c r="L461" s="605"/>
      <c r="M461" s="605"/>
      <c r="N461" s="594"/>
      <c r="O461" s="594"/>
    </row>
    <row r="462" spans="1:125">
      <c r="A462" s="961"/>
      <c r="B462" s="1066"/>
      <c r="C462" s="1428"/>
      <c r="D462" s="952"/>
      <c r="E462" s="607"/>
      <c r="F462" s="607"/>
      <c r="G462" s="607"/>
      <c r="H462" s="605"/>
      <c r="I462" s="605"/>
      <c r="J462" s="605"/>
      <c r="K462" s="605"/>
      <c r="L462" s="605"/>
      <c r="M462" s="605"/>
      <c r="N462" s="594"/>
      <c r="O462" s="594"/>
    </row>
    <row r="463" spans="1:125">
      <c r="A463" s="961"/>
      <c r="B463" s="1066"/>
      <c r="C463" s="1428"/>
      <c r="D463" s="952"/>
      <c r="E463" s="607"/>
      <c r="F463" s="607"/>
      <c r="G463" s="607"/>
      <c r="H463" s="605"/>
      <c r="I463" s="605"/>
      <c r="J463" s="605"/>
      <c r="K463" s="605"/>
      <c r="L463" s="605"/>
      <c r="M463" s="605"/>
      <c r="N463" s="594"/>
      <c r="O463" s="594"/>
    </row>
    <row r="464" spans="1:125">
      <c r="A464" s="961"/>
      <c r="B464" s="1066"/>
      <c r="C464" s="1428"/>
      <c r="D464" s="952"/>
      <c r="E464" s="607"/>
      <c r="F464" s="607"/>
      <c r="G464" s="607"/>
      <c r="H464" s="605"/>
      <c r="I464" s="605"/>
      <c r="J464" s="605"/>
      <c r="K464" s="605"/>
      <c r="L464" s="605"/>
      <c r="M464" s="605"/>
      <c r="N464" s="594"/>
      <c r="O464" s="594"/>
    </row>
    <row r="465" spans="1:15">
      <c r="A465" s="961"/>
      <c r="B465" s="1066"/>
      <c r="C465" s="1428"/>
      <c r="D465" s="952"/>
      <c r="E465" s="607"/>
      <c r="F465" s="607"/>
      <c r="G465" s="607"/>
      <c r="H465" s="605"/>
      <c r="I465" s="605"/>
      <c r="J465" s="605"/>
      <c r="K465" s="605"/>
      <c r="L465" s="605"/>
      <c r="M465" s="605"/>
      <c r="N465" s="594"/>
      <c r="O465" s="594"/>
    </row>
  </sheetData>
  <sheetProtection algorithmName="SHA-512" hashValue="YQemwo8velAUbJnyxgYhINR9AR2wUKvXjLgkqrD/1SZashfe7Ih/I0MW6zFlpzeX9dY3MOuUr61B2AII40NVrg==" saltValue="GLWet2L6xcb/vQO0mgs3/g==" spinCount="100000" sheet="1" selectLockedCells="1"/>
  <mergeCells count="4">
    <mergeCell ref="E2:G2"/>
    <mergeCell ref="H2:I2"/>
    <mergeCell ref="H1:M1"/>
    <mergeCell ref="E1:G1"/>
  </mergeCells>
  <phoneticPr fontId="4" type="noConversion"/>
  <printOptions horizontalCentered="1" verticalCentered="1"/>
  <pageMargins left="1.1811023622047245" right="0.31496062992125984" top="0.31496062992125984" bottom="0.78740157480314965" header="0.51181102362204722" footer="0.55118110236220474"/>
  <pageSetup paperSize="9" scale="90" firstPageNumber="0" orientation="landscape" horizontalDpi="300" verticalDpi="300" r:id="rId1"/>
  <headerFooter alignWithMargins="0">
    <oddFooter>&amp;C&amp;P</oddFooter>
  </headerFooter>
  <rowBreaks count="3" manualBreakCount="3">
    <brk id="77" max="15" man="1"/>
    <brk id="97" max="15" man="1"/>
    <brk id="135" max="15" man="1"/>
  </rowBreaks>
  <colBreaks count="2" manualBreakCount="2">
    <brk id="4" max="264" man="1"/>
    <brk id="13" max="254"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32"/>
  <sheetViews>
    <sheetView topLeftCell="A238" workbookViewId="0">
      <selection activeCell="K3" sqref="K3"/>
    </sheetView>
  </sheetViews>
  <sheetFormatPr defaultRowHeight="15"/>
  <cols>
    <col min="1" max="1" width="3.28515625" style="42" customWidth="1"/>
    <col min="2" max="2" width="4.5703125" style="50" customWidth="1"/>
    <col min="3" max="3" width="40.7109375" style="57" customWidth="1"/>
    <col min="4" max="4" width="2.42578125" style="50" customWidth="1"/>
    <col min="5" max="5" width="13.28515625" style="41" customWidth="1"/>
    <col min="6" max="6" width="3" style="51" customWidth="1"/>
    <col min="7" max="7" width="25.28515625" style="24" customWidth="1"/>
    <col min="8" max="8" width="9.140625" style="52" customWidth="1"/>
    <col min="9" max="10" width="11.28515625" style="52" customWidth="1"/>
    <col min="11" max="11" width="8.85546875" style="52" customWidth="1"/>
    <col min="12" max="12" width="9.140625" style="52" customWidth="1"/>
    <col min="13" max="16384" width="9.140625" style="52"/>
  </cols>
  <sheetData>
    <row r="1" spans="1:7" s="53" customFormat="1">
      <c r="A1" s="540"/>
      <c r="B1" s="541"/>
      <c r="C1" s="542" t="s">
        <v>240</v>
      </c>
      <c r="D1" s="540"/>
      <c r="E1" s="543"/>
      <c r="F1" s="540"/>
      <c r="G1" s="544"/>
    </row>
    <row r="2" spans="1:7" s="7" customFormat="1" ht="193.5">
      <c r="A2" s="545" t="s">
        <v>76</v>
      </c>
      <c r="B2" s="546"/>
      <c r="C2" s="547" t="s">
        <v>197</v>
      </c>
      <c r="D2" s="548"/>
      <c r="E2" s="549"/>
      <c r="F2" s="550"/>
      <c r="G2" s="551"/>
    </row>
    <row r="3" spans="1:7" s="7" customFormat="1" ht="30">
      <c r="A3" s="545"/>
      <c r="B3" s="546"/>
      <c r="C3" s="547" t="s">
        <v>182</v>
      </c>
      <c r="D3" s="548"/>
      <c r="E3" s="549"/>
      <c r="F3" s="550"/>
      <c r="G3" s="551"/>
    </row>
    <row r="4" spans="1:7" s="7" customFormat="1" ht="18">
      <c r="A4" s="545"/>
      <c r="B4" s="546"/>
      <c r="C4" s="547" t="s">
        <v>184</v>
      </c>
      <c r="D4" s="548"/>
      <c r="E4" s="549"/>
      <c r="F4" s="550"/>
      <c r="G4" s="551"/>
    </row>
    <row r="5" spans="1:7" s="7" customFormat="1">
      <c r="A5" s="545"/>
      <c r="B5" s="546"/>
      <c r="C5" s="547"/>
      <c r="D5" s="548"/>
      <c r="E5" s="549"/>
      <c r="F5" s="550"/>
      <c r="G5" s="551"/>
    </row>
    <row r="6" spans="1:7" s="7" customFormat="1">
      <c r="A6" s="545"/>
      <c r="B6" s="546" t="s">
        <v>77</v>
      </c>
      <c r="C6" s="547" t="s">
        <v>178</v>
      </c>
      <c r="D6" s="548"/>
      <c r="E6" s="549"/>
      <c r="F6" s="550"/>
      <c r="G6" s="551"/>
    </row>
    <row r="7" spans="1:7" s="177" customFormat="1" ht="18">
      <c r="A7" s="552"/>
      <c r="B7" s="553" t="s">
        <v>110</v>
      </c>
      <c r="C7" s="554">
        <v>11</v>
      </c>
      <c r="D7" s="553" t="s">
        <v>12</v>
      </c>
      <c r="E7" s="555">
        <v>0</v>
      </c>
      <c r="F7" s="556" t="s">
        <v>13</v>
      </c>
      <c r="G7" s="557">
        <f>C7*E7</f>
        <v>0</v>
      </c>
    </row>
    <row r="8" spans="1:7" s="177" customFormat="1">
      <c r="A8" s="552"/>
      <c r="B8" s="553"/>
      <c r="C8" s="554"/>
      <c r="D8" s="553"/>
      <c r="E8" s="555"/>
      <c r="F8" s="556"/>
      <c r="G8" s="557"/>
    </row>
    <row r="9" spans="1:7" s="7" customFormat="1">
      <c r="A9" s="545"/>
      <c r="B9" s="546" t="s">
        <v>78</v>
      </c>
      <c r="C9" s="547" t="s">
        <v>183</v>
      </c>
      <c r="D9" s="548"/>
      <c r="E9" s="549"/>
      <c r="F9" s="550"/>
      <c r="G9" s="551"/>
    </row>
    <row r="10" spans="1:7" s="177" customFormat="1" ht="18">
      <c r="A10" s="552"/>
      <c r="B10" s="553" t="s">
        <v>110</v>
      </c>
      <c r="C10" s="554">
        <v>15</v>
      </c>
      <c r="D10" s="553" t="s">
        <v>12</v>
      </c>
      <c r="E10" s="555">
        <v>0</v>
      </c>
      <c r="F10" s="556" t="s">
        <v>13</v>
      </c>
      <c r="G10" s="557">
        <f>C10*E10</f>
        <v>0</v>
      </c>
    </row>
    <row r="11" spans="1:7" s="177" customFormat="1">
      <c r="A11" s="552"/>
      <c r="B11" s="553"/>
      <c r="C11" s="554"/>
      <c r="D11" s="553"/>
      <c r="E11" s="555"/>
      <c r="F11" s="556"/>
      <c r="G11" s="557"/>
    </row>
    <row r="12" spans="1:7" s="7" customFormat="1">
      <c r="A12" s="545"/>
      <c r="B12" s="546" t="s">
        <v>198</v>
      </c>
      <c r="C12" s="547" t="s">
        <v>179</v>
      </c>
      <c r="D12" s="548"/>
      <c r="E12" s="549"/>
      <c r="F12" s="550"/>
      <c r="G12" s="551"/>
    </row>
    <row r="13" spans="1:7" s="7" customFormat="1">
      <c r="A13" s="545"/>
      <c r="B13" s="546"/>
      <c r="C13" s="547" t="s">
        <v>181</v>
      </c>
      <c r="D13" s="548"/>
      <c r="E13" s="549"/>
      <c r="F13" s="550"/>
      <c r="G13" s="551"/>
    </row>
    <row r="14" spans="1:7" s="177" customFormat="1">
      <c r="A14" s="552"/>
      <c r="B14" s="553" t="s">
        <v>11</v>
      </c>
      <c r="C14" s="554">
        <v>8</v>
      </c>
      <c r="D14" s="553" t="s">
        <v>12</v>
      </c>
      <c r="E14" s="555">
        <v>0</v>
      </c>
      <c r="F14" s="556" t="s">
        <v>13</v>
      </c>
      <c r="G14" s="557">
        <f>C14*E14</f>
        <v>0</v>
      </c>
    </row>
    <row r="15" spans="1:7" s="39" customFormat="1" ht="14.25">
      <c r="A15" s="558"/>
      <c r="B15" s="559"/>
      <c r="C15" s="560"/>
      <c r="D15" s="559"/>
      <c r="E15" s="561"/>
      <c r="F15" s="562"/>
      <c r="G15" s="563"/>
    </row>
    <row r="16" spans="1:7" s="7" customFormat="1">
      <c r="A16" s="545"/>
      <c r="B16" s="546" t="s">
        <v>199</v>
      </c>
      <c r="C16" s="547" t="s">
        <v>180</v>
      </c>
      <c r="D16" s="548"/>
      <c r="E16" s="549"/>
      <c r="F16" s="550"/>
      <c r="G16" s="551"/>
    </row>
    <row r="17" spans="1:7" s="7" customFormat="1">
      <c r="A17" s="545"/>
      <c r="B17" s="546"/>
      <c r="C17" s="547" t="s">
        <v>181</v>
      </c>
      <c r="D17" s="548"/>
      <c r="E17" s="549"/>
      <c r="F17" s="550"/>
      <c r="G17" s="551"/>
    </row>
    <row r="18" spans="1:7" s="177" customFormat="1">
      <c r="A18" s="552"/>
      <c r="B18" s="553" t="s">
        <v>11</v>
      </c>
      <c r="C18" s="554">
        <v>7</v>
      </c>
      <c r="D18" s="553" t="s">
        <v>12</v>
      </c>
      <c r="E18" s="555">
        <v>0</v>
      </c>
      <c r="F18" s="556" t="s">
        <v>13</v>
      </c>
      <c r="G18" s="557">
        <f>C18*E18</f>
        <v>0</v>
      </c>
    </row>
    <row r="19" spans="1:7" s="39" customFormat="1" ht="14.25">
      <c r="A19" s="558"/>
      <c r="B19" s="559"/>
      <c r="C19" s="560"/>
      <c r="D19" s="559"/>
      <c r="E19" s="561"/>
      <c r="F19" s="562"/>
      <c r="G19" s="563"/>
    </row>
    <row r="20" spans="1:7" s="7" customFormat="1" ht="30">
      <c r="A20" s="545"/>
      <c r="B20" s="546" t="s">
        <v>200</v>
      </c>
      <c r="C20" s="547" t="s">
        <v>196</v>
      </c>
      <c r="D20" s="548"/>
      <c r="E20" s="549"/>
      <c r="F20" s="550"/>
      <c r="G20" s="551"/>
    </row>
    <row r="21" spans="1:7" s="177" customFormat="1" ht="18">
      <c r="A21" s="552"/>
      <c r="B21" s="553" t="s">
        <v>110</v>
      </c>
      <c r="C21" s="554">
        <v>1</v>
      </c>
      <c r="D21" s="553" t="s">
        <v>12</v>
      </c>
      <c r="E21" s="555">
        <v>0</v>
      </c>
      <c r="F21" s="556" t="s">
        <v>13</v>
      </c>
      <c r="G21" s="557">
        <f>C21*E21</f>
        <v>0</v>
      </c>
    </row>
    <row r="22" spans="1:7" s="69" customFormat="1">
      <c r="A22" s="564"/>
      <c r="B22" s="565"/>
      <c r="C22" s="566"/>
      <c r="D22" s="567"/>
      <c r="E22" s="568"/>
      <c r="F22" s="569"/>
      <c r="G22" s="570"/>
    </row>
    <row r="23" spans="1:7" s="179" customFormat="1">
      <c r="A23" s="77"/>
      <c r="B23" s="78"/>
      <c r="C23" s="79"/>
      <c r="D23" s="79"/>
      <c r="E23" s="80"/>
      <c r="F23" s="62"/>
      <c r="G23" s="81"/>
    </row>
    <row r="24" spans="1:7" s="45" customFormat="1" ht="15.75">
      <c r="A24" s="93"/>
      <c r="B24" s="94"/>
      <c r="C24" s="95"/>
      <c r="D24" s="94"/>
      <c r="E24" s="12"/>
      <c r="F24" s="96"/>
      <c r="G24" s="14"/>
    </row>
    <row r="25" spans="1:7" s="45" customFormat="1">
      <c r="A25" s="33" t="s">
        <v>28</v>
      </c>
      <c r="B25" s="34"/>
      <c r="C25" s="35" t="s">
        <v>29</v>
      </c>
      <c r="D25" s="34"/>
      <c r="E25" s="36"/>
      <c r="F25" s="37"/>
      <c r="G25" s="38"/>
    </row>
    <row r="26" spans="1:7" s="15" customFormat="1" ht="15.75">
      <c r="A26" s="33"/>
      <c r="B26" s="34"/>
      <c r="C26" s="35"/>
      <c r="D26" s="34"/>
      <c r="E26" s="36"/>
      <c r="F26" s="37"/>
      <c r="G26" s="38"/>
    </row>
    <row r="27" spans="1:7" s="4" customFormat="1">
      <c r="A27" s="265"/>
      <c r="B27" s="267"/>
      <c r="C27" s="266"/>
      <c r="D27" s="267"/>
      <c r="E27" s="268"/>
      <c r="F27" s="267"/>
      <c r="G27" s="269"/>
    </row>
    <row r="28" spans="1:7" s="4" customFormat="1" ht="93">
      <c r="A28" s="104" t="s">
        <v>16</v>
      </c>
      <c r="B28" s="105"/>
      <c r="C28" s="231" t="s">
        <v>238</v>
      </c>
      <c r="D28" s="106"/>
      <c r="E28" s="107"/>
      <c r="F28" s="106"/>
      <c r="G28" s="108"/>
    </row>
    <row r="29" spans="1:7" s="73" customFormat="1" ht="103.5">
      <c r="A29" s="108"/>
      <c r="B29" s="106"/>
      <c r="C29" s="8" t="s">
        <v>121</v>
      </c>
      <c r="D29" s="106"/>
      <c r="E29" s="107"/>
      <c r="F29" s="106"/>
      <c r="G29" s="108"/>
    </row>
    <row r="30" spans="1:7" s="264" customFormat="1" ht="30">
      <c r="A30" s="108"/>
      <c r="B30" s="106"/>
      <c r="C30" s="161" t="s">
        <v>1</v>
      </c>
      <c r="D30" s="106"/>
      <c r="E30" s="107"/>
      <c r="F30" s="106"/>
      <c r="G30" s="108"/>
    </row>
    <row r="31" spans="1:7" s="264" customFormat="1" ht="15.75">
      <c r="A31" s="108"/>
      <c r="B31" s="106"/>
      <c r="C31" s="161"/>
      <c r="D31" s="106"/>
      <c r="E31" s="107"/>
      <c r="F31" s="106"/>
      <c r="G31" s="108"/>
    </row>
    <row r="32" spans="1:7" s="264" customFormat="1" ht="15.75">
      <c r="A32" s="106"/>
      <c r="B32" s="105"/>
      <c r="C32" s="109" t="s">
        <v>59</v>
      </c>
      <c r="D32" s="106"/>
      <c r="E32" s="110"/>
      <c r="F32" s="106"/>
      <c r="G32" s="108"/>
    </row>
    <row r="33" spans="1:7" s="264" customFormat="1" ht="225">
      <c r="A33" s="106"/>
      <c r="B33" s="105"/>
      <c r="C33" s="111" t="s">
        <v>122</v>
      </c>
      <c r="D33" s="106"/>
      <c r="E33" s="110"/>
      <c r="F33" s="106"/>
      <c r="G33" s="108"/>
    </row>
    <row r="34" spans="1:7" s="4" customFormat="1" ht="165">
      <c r="A34" s="112"/>
      <c r="B34" s="113"/>
      <c r="C34" s="111" t="s">
        <v>111</v>
      </c>
      <c r="D34" s="112"/>
      <c r="E34" s="114"/>
      <c r="F34" s="112"/>
      <c r="G34" s="264"/>
    </row>
    <row r="35" spans="1:7" s="4" customFormat="1" ht="60">
      <c r="A35" s="112"/>
      <c r="B35" s="113"/>
      <c r="C35" s="111" t="s">
        <v>143</v>
      </c>
      <c r="D35" s="112"/>
      <c r="E35" s="114"/>
      <c r="F35" s="112"/>
      <c r="G35" s="264"/>
    </row>
    <row r="36" spans="1:7" s="4" customFormat="1" ht="105">
      <c r="A36" s="106"/>
      <c r="B36" s="105"/>
      <c r="C36" s="111" t="s">
        <v>144</v>
      </c>
      <c r="D36" s="106"/>
      <c r="E36" s="110"/>
      <c r="F36" s="106"/>
      <c r="G36" s="108"/>
    </row>
    <row r="37" spans="1:7" s="4" customFormat="1" ht="45">
      <c r="A37" s="17"/>
      <c r="B37" s="10"/>
      <c r="C37" s="111" t="s">
        <v>123</v>
      </c>
      <c r="D37" s="10"/>
      <c r="E37" s="41"/>
      <c r="F37" s="23"/>
      <c r="G37" s="26"/>
    </row>
    <row r="38" spans="1:7" s="4" customFormat="1" ht="75">
      <c r="A38" s="17"/>
      <c r="B38" s="10"/>
      <c r="C38" s="111" t="s">
        <v>60</v>
      </c>
      <c r="D38" s="10"/>
      <c r="E38" s="41"/>
      <c r="F38" s="23"/>
      <c r="G38" s="26"/>
    </row>
    <row r="39" spans="1:7" s="7" customFormat="1" ht="30">
      <c r="A39" s="106"/>
      <c r="B39" s="105"/>
      <c r="C39" s="115" t="s">
        <v>61</v>
      </c>
      <c r="D39" s="106"/>
      <c r="E39" s="110"/>
      <c r="F39" s="106"/>
      <c r="G39" s="108"/>
    </row>
    <row r="40" spans="1:7" s="7" customFormat="1">
      <c r="A40" s="106"/>
      <c r="B40" s="105"/>
      <c r="C40" s="116" t="s">
        <v>62</v>
      </c>
      <c r="D40" s="106"/>
      <c r="E40" s="110"/>
      <c r="F40" s="106"/>
      <c r="G40" s="108"/>
    </row>
    <row r="41" spans="1:7" s="4" customFormat="1" ht="30">
      <c r="A41" s="106"/>
      <c r="B41" s="105"/>
      <c r="C41" s="117" t="s">
        <v>63</v>
      </c>
      <c r="D41" s="106"/>
      <c r="E41" s="110"/>
      <c r="F41" s="106"/>
      <c r="G41" s="108"/>
    </row>
    <row r="42" spans="1:7" s="4" customFormat="1" ht="60">
      <c r="A42" s="106"/>
      <c r="B42" s="105"/>
      <c r="C42" s="117" t="s">
        <v>64</v>
      </c>
      <c r="D42" s="106"/>
      <c r="E42" s="110"/>
      <c r="F42" s="106"/>
      <c r="G42" s="108"/>
    </row>
    <row r="43" spans="1:7" s="4" customFormat="1">
      <c r="A43" s="17"/>
      <c r="B43" s="10"/>
      <c r="C43" s="270" t="s">
        <v>65</v>
      </c>
      <c r="D43" s="10"/>
      <c r="E43" s="41"/>
      <c r="F43" s="23"/>
      <c r="G43" s="26"/>
    </row>
    <row r="44" spans="1:7" s="4" customFormat="1">
      <c r="A44" s="17"/>
      <c r="B44" s="25"/>
      <c r="C44" s="8" t="s">
        <v>66</v>
      </c>
      <c r="D44" s="18"/>
      <c r="E44" s="19"/>
      <c r="F44" s="17"/>
      <c r="G44" s="20"/>
    </row>
    <row r="45" spans="1:7" s="4" customFormat="1">
      <c r="A45" s="17"/>
      <c r="B45" s="18"/>
      <c r="C45" s="271" t="s">
        <v>154</v>
      </c>
      <c r="D45" s="18"/>
      <c r="E45" s="19"/>
      <c r="F45" s="17"/>
      <c r="G45" s="20"/>
    </row>
    <row r="46" spans="1:7" s="4" customFormat="1">
      <c r="A46" s="17"/>
      <c r="B46" s="4" t="s">
        <v>18</v>
      </c>
      <c r="C46" s="21" t="s">
        <v>68</v>
      </c>
      <c r="D46" s="4" t="s">
        <v>12</v>
      </c>
      <c r="E46" s="22"/>
      <c r="F46" s="23" t="s">
        <v>13</v>
      </c>
      <c r="G46" s="24">
        <f>C46*E46</f>
        <v>0</v>
      </c>
    </row>
    <row r="47" spans="1:7" s="4" customFormat="1">
      <c r="A47" s="17"/>
      <c r="B47" s="25"/>
      <c r="C47" s="8"/>
      <c r="D47" s="18"/>
      <c r="E47" s="19"/>
      <c r="F47" s="17"/>
      <c r="G47" s="20"/>
    </row>
    <row r="48" spans="1:7" s="4" customFormat="1" ht="30">
      <c r="A48" s="17"/>
      <c r="B48" s="18"/>
      <c r="C48" s="271" t="s">
        <v>185</v>
      </c>
      <c r="D48" s="18"/>
      <c r="E48" s="19"/>
      <c r="F48" s="17"/>
      <c r="G48" s="20"/>
    </row>
    <row r="49" spans="1:8" s="4" customFormat="1">
      <c r="A49" s="17"/>
      <c r="B49" s="4" t="s">
        <v>18</v>
      </c>
      <c r="C49" s="21" t="s">
        <v>67</v>
      </c>
      <c r="D49" s="4" t="s">
        <v>12</v>
      </c>
      <c r="E49" s="22"/>
      <c r="F49" s="23" t="s">
        <v>13</v>
      </c>
      <c r="G49" s="24">
        <f>C49*E49</f>
        <v>0</v>
      </c>
    </row>
    <row r="50" spans="1:8" s="4" customFormat="1">
      <c r="A50" s="17"/>
      <c r="B50" s="25"/>
      <c r="C50" s="8"/>
      <c r="D50" s="18"/>
      <c r="E50" s="19"/>
      <c r="F50" s="17"/>
      <c r="G50" s="20"/>
    </row>
    <row r="51" spans="1:8" s="7" customFormat="1">
      <c r="A51" s="17"/>
      <c r="B51" s="18"/>
      <c r="C51" s="271" t="s">
        <v>106</v>
      </c>
      <c r="D51" s="18"/>
      <c r="E51" s="19"/>
      <c r="F51" s="17"/>
      <c r="G51" s="20"/>
    </row>
    <row r="52" spans="1:8" s="7" customFormat="1">
      <c r="A52" s="17"/>
      <c r="B52" s="4" t="s">
        <v>18</v>
      </c>
      <c r="C52" s="21" t="s">
        <v>169</v>
      </c>
      <c r="D52" s="4" t="s">
        <v>12</v>
      </c>
      <c r="E52" s="22"/>
      <c r="F52" s="23" t="s">
        <v>13</v>
      </c>
      <c r="G52" s="24">
        <f>C52*E52</f>
        <v>0</v>
      </c>
    </row>
    <row r="53" spans="1:8" s="4" customFormat="1">
      <c r="A53" s="17"/>
      <c r="B53" s="25"/>
      <c r="C53" s="8"/>
      <c r="D53" s="18"/>
      <c r="E53" s="19"/>
      <c r="F53" s="17"/>
      <c r="G53" s="20"/>
      <c r="H53" s="4">
        <v>3</v>
      </c>
    </row>
    <row r="54" spans="1:8" s="7" customFormat="1" ht="30">
      <c r="A54" s="17"/>
      <c r="B54" s="18"/>
      <c r="C54" s="271" t="s">
        <v>145</v>
      </c>
      <c r="D54" s="18"/>
      <c r="E54" s="19"/>
      <c r="F54" s="17"/>
      <c r="G54" s="20"/>
    </row>
    <row r="55" spans="1:8" s="7" customFormat="1">
      <c r="A55" s="17"/>
      <c r="B55" s="4" t="s">
        <v>18</v>
      </c>
      <c r="C55" s="21" t="s">
        <v>159</v>
      </c>
      <c r="D55" s="4" t="s">
        <v>12</v>
      </c>
      <c r="E55" s="22"/>
      <c r="F55" s="23" t="s">
        <v>13</v>
      </c>
      <c r="G55" s="24">
        <f>C55*E55</f>
        <v>0</v>
      </c>
    </row>
    <row r="56" spans="1:8" s="4" customFormat="1">
      <c r="A56" s="17"/>
      <c r="B56" s="25"/>
      <c r="C56" s="8"/>
      <c r="D56" s="18"/>
      <c r="E56" s="19"/>
      <c r="F56" s="17"/>
      <c r="G56" s="20"/>
      <c r="H56" s="4">
        <v>1</v>
      </c>
    </row>
    <row r="57" spans="1:8" s="7" customFormat="1" ht="30">
      <c r="A57" s="17"/>
      <c r="B57" s="18"/>
      <c r="C57" s="271" t="s">
        <v>155</v>
      </c>
      <c r="D57" s="18"/>
      <c r="E57" s="19"/>
      <c r="F57" s="17"/>
      <c r="G57" s="20"/>
    </row>
    <row r="58" spans="1:8" s="7" customFormat="1">
      <c r="A58" s="17"/>
      <c r="B58" s="4" t="s">
        <v>18</v>
      </c>
      <c r="C58" s="21" t="s">
        <v>67</v>
      </c>
      <c r="D58" s="4" t="s">
        <v>12</v>
      </c>
      <c r="E58" s="22"/>
      <c r="F58" s="23" t="s">
        <v>13</v>
      </c>
      <c r="G58" s="24">
        <f>C58*E58</f>
        <v>0</v>
      </c>
    </row>
    <row r="59" spans="1:8" s="4" customFormat="1">
      <c r="A59" s="17"/>
      <c r="B59" s="25"/>
      <c r="C59" s="8" t="s">
        <v>104</v>
      </c>
      <c r="D59" s="18"/>
      <c r="E59" s="19" t="s">
        <v>104</v>
      </c>
      <c r="F59" s="17"/>
      <c r="G59" s="20"/>
      <c r="H59" s="4">
        <v>8</v>
      </c>
    </row>
    <row r="60" spans="1:8" s="7" customFormat="1" ht="30">
      <c r="A60" s="17"/>
      <c r="B60" s="18"/>
      <c r="C60" s="271" t="s">
        <v>186</v>
      </c>
      <c r="D60" s="18"/>
      <c r="E60" s="19"/>
      <c r="F60" s="17"/>
      <c r="G60" s="20"/>
    </row>
    <row r="61" spans="1:8" s="7" customFormat="1">
      <c r="A61" s="17"/>
      <c r="B61" s="4" t="s">
        <v>18</v>
      </c>
      <c r="C61" s="21" t="s">
        <v>67</v>
      </c>
      <c r="D61" s="4" t="s">
        <v>12</v>
      </c>
      <c r="E61" s="22"/>
      <c r="F61" s="23" t="s">
        <v>13</v>
      </c>
      <c r="G61" s="24">
        <f>C61*E61</f>
        <v>0</v>
      </c>
    </row>
    <row r="62" spans="1:8" s="4" customFormat="1">
      <c r="A62" s="17"/>
      <c r="B62" s="25"/>
      <c r="C62" s="8"/>
      <c r="D62" s="18"/>
      <c r="E62" s="19"/>
      <c r="F62" s="17"/>
      <c r="G62" s="20"/>
      <c r="H62" s="4">
        <v>4</v>
      </c>
    </row>
    <row r="63" spans="1:8" s="7" customFormat="1">
      <c r="A63" s="17"/>
      <c r="B63" s="18"/>
      <c r="C63" s="271" t="s">
        <v>107</v>
      </c>
      <c r="D63" s="18"/>
      <c r="E63" s="19"/>
      <c r="F63" s="17"/>
      <c r="G63" s="20"/>
    </row>
    <row r="64" spans="1:8" s="7" customFormat="1">
      <c r="A64" s="17"/>
      <c r="B64" s="4" t="s">
        <v>18</v>
      </c>
      <c r="C64" s="21" t="s">
        <v>79</v>
      </c>
      <c r="D64" s="4" t="s">
        <v>12</v>
      </c>
      <c r="E64" s="22"/>
      <c r="F64" s="23" t="s">
        <v>13</v>
      </c>
      <c r="G64" s="24">
        <f>C64*E64</f>
        <v>0</v>
      </c>
    </row>
    <row r="65" spans="1:8" s="4" customFormat="1">
      <c r="A65" s="17"/>
      <c r="B65" s="25"/>
      <c r="C65" s="8"/>
      <c r="D65" s="18"/>
      <c r="E65" s="19"/>
      <c r="F65" s="17"/>
      <c r="G65" s="20"/>
      <c r="H65" s="4">
        <v>1</v>
      </c>
    </row>
    <row r="66" spans="1:8" s="7" customFormat="1" ht="30">
      <c r="A66" s="17"/>
      <c r="B66" s="18"/>
      <c r="C66" s="271" t="s">
        <v>158</v>
      </c>
      <c r="D66" s="18"/>
      <c r="E66" s="19"/>
      <c r="F66" s="17"/>
      <c r="G66" s="20"/>
    </row>
    <row r="67" spans="1:8" s="7" customFormat="1">
      <c r="A67" s="17"/>
      <c r="B67" s="4" t="s">
        <v>18</v>
      </c>
      <c r="C67" s="21" t="s">
        <v>67</v>
      </c>
      <c r="D67" s="4" t="s">
        <v>12</v>
      </c>
      <c r="E67" s="22"/>
      <c r="F67" s="23" t="s">
        <v>13</v>
      </c>
      <c r="G67" s="24">
        <f>C67*E67</f>
        <v>0</v>
      </c>
    </row>
    <row r="68" spans="1:8" s="4" customFormat="1">
      <c r="A68" s="17"/>
      <c r="B68" s="25"/>
      <c r="C68" s="8"/>
      <c r="D68" s="18"/>
      <c r="E68" s="19"/>
      <c r="F68" s="17"/>
      <c r="G68" s="20"/>
      <c r="H68" s="4">
        <v>1</v>
      </c>
    </row>
    <row r="69" spans="1:8" s="7" customFormat="1">
      <c r="A69" s="17"/>
      <c r="B69" s="18"/>
      <c r="C69" s="271" t="s">
        <v>108</v>
      </c>
      <c r="D69" s="18"/>
      <c r="E69" s="19"/>
      <c r="F69" s="17"/>
      <c r="G69" s="20"/>
    </row>
    <row r="70" spans="1:8" s="7" customFormat="1">
      <c r="A70" s="17"/>
      <c r="B70" s="4" t="s">
        <v>18</v>
      </c>
      <c r="C70" s="21" t="s">
        <v>79</v>
      </c>
      <c r="D70" s="4" t="s">
        <v>12</v>
      </c>
      <c r="E70" s="22"/>
      <c r="F70" s="23" t="s">
        <v>13</v>
      </c>
      <c r="G70" s="24">
        <f>C70*E70</f>
        <v>0</v>
      </c>
    </row>
    <row r="71" spans="1:8" s="4" customFormat="1">
      <c r="A71" s="17"/>
      <c r="C71" s="21" t="s">
        <v>104</v>
      </c>
      <c r="E71" s="22" t="s">
        <v>104</v>
      </c>
      <c r="F71" s="23"/>
      <c r="G71" s="24"/>
      <c r="H71" s="4">
        <v>5</v>
      </c>
    </row>
    <row r="72" spans="1:8" s="7" customFormat="1">
      <c r="A72" s="17"/>
      <c r="B72" s="18"/>
      <c r="C72" s="271" t="s">
        <v>156</v>
      </c>
      <c r="D72" s="18"/>
      <c r="E72" s="19"/>
      <c r="F72" s="17"/>
      <c r="G72" s="20"/>
    </row>
    <row r="73" spans="1:8" s="7" customFormat="1">
      <c r="A73" s="17"/>
      <c r="B73" s="4" t="s">
        <v>18</v>
      </c>
      <c r="C73" s="21" t="s">
        <v>67</v>
      </c>
      <c r="D73" s="4" t="s">
        <v>12</v>
      </c>
      <c r="E73" s="22"/>
      <c r="F73" s="23" t="s">
        <v>13</v>
      </c>
      <c r="G73" s="24">
        <f>C73*E73</f>
        <v>0</v>
      </c>
    </row>
    <row r="74" spans="1:8" s="4" customFormat="1">
      <c r="A74" s="17"/>
      <c r="B74" s="25"/>
      <c r="C74" s="8" t="s">
        <v>104</v>
      </c>
      <c r="D74" s="18"/>
      <c r="E74" s="19" t="s">
        <v>104</v>
      </c>
      <c r="F74" s="17"/>
      <c r="G74" s="20"/>
      <c r="H74" s="4">
        <v>1</v>
      </c>
    </row>
    <row r="75" spans="1:8" s="7" customFormat="1">
      <c r="A75" s="17"/>
      <c r="B75" s="18"/>
      <c r="C75" s="271" t="s">
        <v>112</v>
      </c>
      <c r="D75" s="18"/>
      <c r="E75" s="19"/>
      <c r="F75" s="17"/>
      <c r="G75" s="20"/>
    </row>
    <row r="76" spans="1:8" s="7" customFormat="1">
      <c r="A76" s="17"/>
      <c r="B76" s="4" t="s">
        <v>18</v>
      </c>
      <c r="C76" s="21" t="s">
        <v>67</v>
      </c>
      <c r="D76" s="4" t="s">
        <v>12</v>
      </c>
      <c r="E76" s="22"/>
      <c r="F76" s="23" t="s">
        <v>13</v>
      </c>
      <c r="G76" s="24">
        <f>C76*E76</f>
        <v>0</v>
      </c>
    </row>
    <row r="77" spans="1:8" s="4" customFormat="1">
      <c r="A77" s="17"/>
      <c r="B77" s="25"/>
      <c r="C77" s="8" t="s">
        <v>104</v>
      </c>
      <c r="D77" s="18"/>
      <c r="E77" s="19" t="s">
        <v>104</v>
      </c>
      <c r="F77" s="17"/>
      <c r="G77" s="20"/>
      <c r="H77" s="4">
        <v>5</v>
      </c>
    </row>
    <row r="78" spans="1:8" s="4" customFormat="1" ht="45">
      <c r="A78" s="17"/>
      <c r="B78" s="18"/>
      <c r="C78" s="271" t="s">
        <v>157</v>
      </c>
      <c r="D78" s="18"/>
      <c r="E78" s="19"/>
      <c r="F78" s="17"/>
      <c r="G78" s="20"/>
    </row>
    <row r="79" spans="1:8" s="7" customFormat="1">
      <c r="A79" s="17"/>
      <c r="B79" s="4" t="s">
        <v>18</v>
      </c>
      <c r="C79" s="21" t="s">
        <v>67</v>
      </c>
      <c r="D79" s="4" t="s">
        <v>12</v>
      </c>
      <c r="E79" s="22"/>
      <c r="F79" s="23" t="s">
        <v>13</v>
      </c>
      <c r="G79" s="24">
        <f>C79*E79</f>
        <v>0</v>
      </c>
    </row>
    <row r="80" spans="1:8" s="4" customFormat="1">
      <c r="A80" s="17"/>
      <c r="C80" s="21"/>
      <c r="E80" s="22"/>
      <c r="F80" s="23"/>
      <c r="G80" s="24"/>
      <c r="H80" s="4">
        <v>1</v>
      </c>
    </row>
    <row r="81" spans="1:8" s="7" customFormat="1">
      <c r="A81" s="17"/>
      <c r="B81" s="18"/>
      <c r="C81" s="271" t="s">
        <v>203</v>
      </c>
      <c r="D81" s="18"/>
      <c r="E81" s="19"/>
      <c r="F81" s="17"/>
      <c r="G81" s="20"/>
    </row>
    <row r="82" spans="1:8" s="7" customFormat="1">
      <c r="A82" s="17"/>
      <c r="B82" s="4" t="s">
        <v>18</v>
      </c>
      <c r="C82" s="21" t="s">
        <v>6</v>
      </c>
      <c r="D82" s="4" t="s">
        <v>12</v>
      </c>
      <c r="E82" s="22"/>
      <c r="F82" s="23" t="s">
        <v>13</v>
      </c>
      <c r="G82" s="24">
        <f>C82*E82</f>
        <v>0</v>
      </c>
    </row>
    <row r="83" spans="1:8" s="4" customFormat="1">
      <c r="A83" s="17"/>
      <c r="B83" s="25"/>
      <c r="C83" s="8" t="s">
        <v>104</v>
      </c>
      <c r="D83" s="18"/>
      <c r="E83" s="19" t="s">
        <v>104</v>
      </c>
      <c r="F83" s="17"/>
      <c r="G83" s="20"/>
      <c r="H83" s="4">
        <v>1</v>
      </c>
    </row>
    <row r="84" spans="1:8" s="7" customFormat="1" ht="30">
      <c r="A84" s="17"/>
      <c r="B84" s="18"/>
      <c r="C84" s="271" t="s">
        <v>187</v>
      </c>
      <c r="D84" s="18"/>
      <c r="E84" s="19"/>
      <c r="F84" s="17"/>
      <c r="G84" s="20"/>
    </row>
    <row r="85" spans="1:8" s="7" customFormat="1">
      <c r="A85" s="17"/>
      <c r="B85" s="4" t="s">
        <v>18</v>
      </c>
      <c r="C85" s="21" t="s">
        <v>67</v>
      </c>
      <c r="D85" s="4" t="s">
        <v>12</v>
      </c>
      <c r="E85" s="22"/>
      <c r="F85" s="23" t="s">
        <v>13</v>
      </c>
      <c r="G85" s="24">
        <f>C85*E85</f>
        <v>0</v>
      </c>
    </row>
    <row r="86" spans="1:8" s="4" customFormat="1">
      <c r="A86" s="17"/>
      <c r="B86" s="18"/>
      <c r="C86" s="271" t="s">
        <v>104</v>
      </c>
      <c r="D86" s="18"/>
      <c r="E86" s="19" t="s">
        <v>104</v>
      </c>
      <c r="F86" s="17"/>
      <c r="G86" s="20"/>
      <c r="H86" s="4">
        <v>1</v>
      </c>
    </row>
    <row r="87" spans="1:8" s="4" customFormat="1">
      <c r="A87" s="17"/>
      <c r="B87" s="18"/>
      <c r="C87" s="271" t="s">
        <v>146</v>
      </c>
      <c r="D87" s="18"/>
      <c r="E87" s="19"/>
      <c r="F87" s="17"/>
      <c r="G87" s="20"/>
    </row>
    <row r="88" spans="1:8" s="7" customFormat="1">
      <c r="A88" s="17"/>
      <c r="B88" s="4" t="s">
        <v>18</v>
      </c>
      <c r="C88" s="21" t="s">
        <v>6</v>
      </c>
      <c r="D88" s="4" t="s">
        <v>12</v>
      </c>
      <c r="E88" s="22"/>
      <c r="F88" s="23" t="s">
        <v>13</v>
      </c>
      <c r="G88" s="24">
        <f>C88*E88</f>
        <v>0</v>
      </c>
    </row>
    <row r="89" spans="1:8" s="4" customFormat="1">
      <c r="A89" s="17"/>
      <c r="B89" s="25"/>
      <c r="C89" s="8" t="s">
        <v>104</v>
      </c>
      <c r="D89" s="18"/>
      <c r="E89" s="19" t="s">
        <v>104</v>
      </c>
      <c r="F89" s="17"/>
      <c r="G89" s="20"/>
      <c r="H89" s="4">
        <v>2</v>
      </c>
    </row>
    <row r="90" spans="1:8" s="7" customFormat="1" ht="30">
      <c r="A90" s="17"/>
      <c r="B90" s="18"/>
      <c r="C90" s="271" t="s">
        <v>160</v>
      </c>
      <c r="D90" s="18"/>
      <c r="E90" s="19"/>
      <c r="F90" s="17"/>
      <c r="G90" s="20"/>
    </row>
    <row r="91" spans="1:8" s="7" customFormat="1">
      <c r="A91" s="17"/>
      <c r="B91" s="4" t="s">
        <v>18</v>
      </c>
      <c r="C91" s="21" t="s">
        <v>67</v>
      </c>
      <c r="D91" s="4" t="s">
        <v>12</v>
      </c>
      <c r="E91" s="22"/>
      <c r="F91" s="23" t="s">
        <v>13</v>
      </c>
      <c r="G91" s="24">
        <f>C91*E91</f>
        <v>0</v>
      </c>
    </row>
    <row r="92" spans="1:8" s="4" customFormat="1">
      <c r="A92" s="17"/>
      <c r="B92" s="25"/>
      <c r="C92" s="8" t="s">
        <v>104</v>
      </c>
      <c r="D92" s="18"/>
      <c r="E92" s="19" t="s">
        <v>104</v>
      </c>
      <c r="F92" s="17"/>
      <c r="G92" s="20"/>
      <c r="H92" s="4">
        <v>1</v>
      </c>
    </row>
    <row r="93" spans="1:8" s="7" customFormat="1" ht="30">
      <c r="A93" s="17"/>
      <c r="B93" s="18"/>
      <c r="C93" s="271" t="s">
        <v>189</v>
      </c>
      <c r="D93" s="18"/>
      <c r="E93" s="19"/>
      <c r="F93" s="17"/>
      <c r="G93" s="20"/>
    </row>
    <row r="94" spans="1:8" s="7" customFormat="1">
      <c r="A94" s="17"/>
      <c r="B94" s="4" t="s">
        <v>18</v>
      </c>
      <c r="C94" s="21" t="s">
        <v>6</v>
      </c>
      <c r="D94" s="4" t="s">
        <v>12</v>
      </c>
      <c r="E94" s="22"/>
      <c r="F94" s="23" t="s">
        <v>13</v>
      </c>
      <c r="G94" s="24">
        <f>C94*E94</f>
        <v>0</v>
      </c>
    </row>
    <row r="95" spans="1:8" s="4" customFormat="1">
      <c r="A95" s="17"/>
      <c r="B95" s="25"/>
      <c r="C95" s="8" t="s">
        <v>104</v>
      </c>
      <c r="D95" s="18"/>
      <c r="E95" s="19" t="s">
        <v>104</v>
      </c>
      <c r="F95" s="17"/>
      <c r="G95" s="20"/>
      <c r="H95" s="4">
        <v>2</v>
      </c>
    </row>
    <row r="96" spans="1:8" s="7" customFormat="1" ht="30">
      <c r="A96" s="17"/>
      <c r="B96" s="18"/>
      <c r="C96" s="271" t="s">
        <v>188</v>
      </c>
      <c r="D96" s="18"/>
      <c r="E96" s="19"/>
      <c r="F96" s="17"/>
      <c r="G96" s="20"/>
    </row>
    <row r="97" spans="1:8" s="7" customFormat="1">
      <c r="A97" s="17"/>
      <c r="B97" s="4" t="s">
        <v>18</v>
      </c>
      <c r="C97" s="21" t="s">
        <v>67</v>
      </c>
      <c r="D97" s="4" t="s">
        <v>12</v>
      </c>
      <c r="E97" s="22"/>
      <c r="F97" s="23" t="s">
        <v>13</v>
      </c>
      <c r="G97" s="24">
        <f>C97*E97</f>
        <v>0</v>
      </c>
    </row>
    <row r="98" spans="1:8" s="4" customFormat="1">
      <c r="A98" s="17"/>
      <c r="B98" s="25"/>
      <c r="C98" s="8" t="s">
        <v>104</v>
      </c>
      <c r="D98" s="18"/>
      <c r="E98" s="19" t="s">
        <v>104</v>
      </c>
      <c r="F98" s="17"/>
      <c r="G98" s="20"/>
      <c r="H98" s="4">
        <v>1</v>
      </c>
    </row>
    <row r="99" spans="1:8" s="7" customFormat="1">
      <c r="A99" s="17"/>
      <c r="B99" s="18"/>
      <c r="C99" s="271" t="s">
        <v>161</v>
      </c>
      <c r="D99" s="18"/>
      <c r="E99" s="19"/>
      <c r="F99" s="17"/>
      <c r="G99" s="20"/>
    </row>
    <row r="100" spans="1:8" s="7" customFormat="1">
      <c r="A100" s="17"/>
      <c r="B100" s="4" t="s">
        <v>18</v>
      </c>
      <c r="C100" s="21" t="s">
        <v>67</v>
      </c>
      <c r="D100" s="4" t="s">
        <v>12</v>
      </c>
      <c r="E100" s="22"/>
      <c r="F100" s="23" t="s">
        <v>13</v>
      </c>
      <c r="G100" s="24">
        <f>C100*E100</f>
        <v>0</v>
      </c>
    </row>
    <row r="101" spans="1:8" s="4" customFormat="1">
      <c r="A101" s="17"/>
      <c r="B101" s="25"/>
      <c r="C101" s="8"/>
      <c r="D101" s="18"/>
      <c r="E101" s="19"/>
      <c r="F101" s="17"/>
      <c r="G101" s="20"/>
      <c r="H101" s="4">
        <v>2</v>
      </c>
    </row>
    <row r="102" spans="1:8" s="7" customFormat="1">
      <c r="A102" s="17"/>
      <c r="B102" s="18"/>
      <c r="C102" s="271" t="s">
        <v>204</v>
      </c>
      <c r="D102" s="18"/>
      <c r="E102" s="19"/>
      <c r="F102" s="17"/>
      <c r="G102" s="20"/>
    </row>
    <row r="103" spans="1:8" s="7" customFormat="1">
      <c r="A103" s="17"/>
      <c r="B103" s="4" t="s">
        <v>18</v>
      </c>
      <c r="C103" s="21" t="s">
        <v>6</v>
      </c>
      <c r="D103" s="4" t="s">
        <v>12</v>
      </c>
      <c r="E103" s="22"/>
      <c r="F103" s="23" t="s">
        <v>13</v>
      </c>
      <c r="G103" s="24">
        <f>C103*E103</f>
        <v>0</v>
      </c>
    </row>
    <row r="104" spans="1:8" s="4" customFormat="1">
      <c r="A104" s="17"/>
      <c r="B104" s="25"/>
      <c r="C104" s="8"/>
      <c r="D104" s="18"/>
      <c r="E104" s="19"/>
      <c r="F104" s="17"/>
      <c r="G104" s="20"/>
      <c r="H104" s="4">
        <v>1</v>
      </c>
    </row>
    <row r="105" spans="1:8" s="7" customFormat="1">
      <c r="A105" s="259"/>
      <c r="B105" s="105"/>
      <c r="C105" s="260" t="s">
        <v>86</v>
      </c>
      <c r="D105" s="106"/>
      <c r="E105" s="261"/>
      <c r="F105" s="106"/>
      <c r="G105" s="262"/>
    </row>
    <row r="106" spans="1:8" s="7" customFormat="1">
      <c r="A106" s="259"/>
      <c r="B106" s="105"/>
      <c r="C106" s="263" t="s">
        <v>87</v>
      </c>
      <c r="D106" s="106"/>
      <c r="E106" s="261"/>
      <c r="F106" s="106"/>
      <c r="G106" s="262"/>
    </row>
    <row r="107" spans="1:8" s="4" customFormat="1">
      <c r="A107" s="259"/>
      <c r="B107" s="105"/>
      <c r="C107" s="263" t="s">
        <v>88</v>
      </c>
      <c r="D107" s="106"/>
      <c r="E107" s="261"/>
      <c r="F107" s="106"/>
      <c r="G107" s="262"/>
      <c r="H107" s="4">
        <v>1</v>
      </c>
    </row>
    <row r="108" spans="1:8" s="7" customFormat="1">
      <c r="A108" s="259"/>
      <c r="B108" s="105"/>
      <c r="C108" s="263" t="s">
        <v>89</v>
      </c>
      <c r="D108" s="106"/>
      <c r="E108" s="261"/>
      <c r="F108" s="106"/>
      <c r="G108" s="262"/>
    </row>
    <row r="109" spans="1:8" s="7" customFormat="1" ht="90">
      <c r="A109" s="182" t="s">
        <v>17</v>
      </c>
      <c r="B109" s="178"/>
      <c r="C109" s="183" t="s">
        <v>205</v>
      </c>
      <c r="D109" s="177"/>
      <c r="E109" s="184"/>
      <c r="F109" s="181"/>
      <c r="G109" s="184"/>
    </row>
    <row r="110" spans="1:8" s="4" customFormat="1">
      <c r="A110" s="185"/>
      <c r="B110" s="178"/>
      <c r="C110" s="186" t="s">
        <v>103</v>
      </c>
      <c r="D110" s="177"/>
      <c r="E110" s="184"/>
      <c r="F110" s="181"/>
      <c r="G110" s="184"/>
      <c r="H110" s="4">
        <v>2</v>
      </c>
    </row>
    <row r="111" spans="1:8" s="7" customFormat="1">
      <c r="A111" s="180"/>
      <c r="B111" s="187"/>
      <c r="C111" s="183"/>
      <c r="D111" s="188"/>
      <c r="E111" s="189"/>
      <c r="F111" s="180"/>
      <c r="G111" s="190"/>
      <c r="H111" s="7">
        <f>SUM(H52:H110)</f>
        <v>44</v>
      </c>
    </row>
    <row r="112" spans="1:8" s="264" customFormat="1" ht="15.75">
      <c r="A112" s="185"/>
      <c r="B112" s="178"/>
      <c r="C112" s="191" t="s">
        <v>190</v>
      </c>
      <c r="D112" s="177"/>
      <c r="E112" s="184"/>
      <c r="F112" s="181"/>
      <c r="G112" s="184"/>
    </row>
    <row r="113" spans="1:7" s="264" customFormat="1" ht="15.75">
      <c r="A113" s="185"/>
      <c r="B113" s="177" t="s">
        <v>18</v>
      </c>
      <c r="C113" s="192" t="s">
        <v>6</v>
      </c>
      <c r="D113" s="177" t="s">
        <v>12</v>
      </c>
      <c r="E113" s="184"/>
      <c r="F113" s="181" t="s">
        <v>13</v>
      </c>
      <c r="G113" s="184">
        <f>C113*E113</f>
        <v>0</v>
      </c>
    </row>
    <row r="114" spans="1:7" s="264" customFormat="1" ht="15.75">
      <c r="A114" s="185"/>
      <c r="B114" s="178"/>
      <c r="C114" s="191" t="s">
        <v>206</v>
      </c>
      <c r="D114" s="177"/>
      <c r="E114" s="184"/>
      <c r="F114" s="181"/>
      <c r="G114" s="184"/>
    </row>
    <row r="115" spans="1:7" s="264" customFormat="1" ht="15.75">
      <c r="A115" s="185"/>
      <c r="B115" s="177" t="s">
        <v>18</v>
      </c>
      <c r="C115" s="192" t="s">
        <v>6</v>
      </c>
      <c r="D115" s="177" t="s">
        <v>12</v>
      </c>
      <c r="E115" s="184"/>
      <c r="F115" s="181" t="s">
        <v>13</v>
      </c>
      <c r="G115" s="184">
        <f>C115*E115</f>
        <v>0</v>
      </c>
    </row>
    <row r="116" spans="1:7" s="177" customFormat="1">
      <c r="A116" s="185"/>
      <c r="C116" s="192"/>
      <c r="E116" s="184"/>
      <c r="F116" s="181"/>
      <c r="G116" s="184"/>
    </row>
    <row r="117" spans="1:7" s="177" customFormat="1">
      <c r="A117" s="259"/>
      <c r="B117" s="105"/>
      <c r="C117" s="260" t="s">
        <v>86</v>
      </c>
      <c r="D117" s="106"/>
      <c r="E117" s="261"/>
      <c r="F117" s="106"/>
      <c r="G117" s="262"/>
    </row>
    <row r="118" spans="1:7" s="179" customFormat="1">
      <c r="A118" s="259"/>
      <c r="B118" s="105"/>
      <c r="C118" s="263" t="s">
        <v>87</v>
      </c>
      <c r="D118" s="106"/>
      <c r="E118" s="261"/>
      <c r="F118" s="106"/>
      <c r="G118" s="262"/>
    </row>
    <row r="119" spans="1:7" s="177" customFormat="1">
      <c r="A119" s="259"/>
      <c r="B119" s="105"/>
      <c r="C119" s="263" t="s">
        <v>88</v>
      </c>
      <c r="D119" s="106"/>
      <c r="E119" s="261"/>
      <c r="F119" s="106"/>
      <c r="G119" s="262"/>
    </row>
    <row r="120" spans="1:7" s="177" customFormat="1">
      <c r="A120" s="259"/>
      <c r="B120" s="105"/>
      <c r="C120" s="263" t="s">
        <v>89</v>
      </c>
      <c r="D120" s="106"/>
      <c r="E120" s="261"/>
      <c r="F120" s="106"/>
      <c r="G120" s="262"/>
    </row>
    <row r="121" spans="1:7" s="177" customFormat="1">
      <c r="A121" s="259"/>
      <c r="B121" s="105"/>
      <c r="C121" s="263"/>
      <c r="D121" s="106"/>
      <c r="E121" s="261"/>
      <c r="F121" s="106"/>
      <c r="G121" s="262"/>
    </row>
    <row r="122" spans="1:7" s="177" customFormat="1">
      <c r="A122" s="185"/>
      <c r="C122" s="192"/>
      <c r="E122" s="184"/>
      <c r="F122" s="181"/>
      <c r="G122" s="184"/>
    </row>
    <row r="123" spans="1:7" s="177" customFormat="1" ht="135">
      <c r="A123" s="182" t="s">
        <v>19</v>
      </c>
      <c r="B123" s="232"/>
      <c r="C123" s="238" t="s">
        <v>207</v>
      </c>
      <c r="D123" s="233"/>
      <c r="E123" s="234"/>
      <c r="F123" s="232"/>
      <c r="G123" s="235"/>
    </row>
    <row r="124" spans="1:7" s="264" customFormat="1" ht="15.75">
      <c r="A124" s="221"/>
      <c r="B124" s="232"/>
      <c r="C124" s="239" t="s">
        <v>208</v>
      </c>
      <c r="D124" s="233"/>
      <c r="E124" s="234"/>
      <c r="F124" s="232"/>
      <c r="G124" s="235"/>
    </row>
    <row r="125" spans="1:7" s="264" customFormat="1" ht="15.75">
      <c r="A125" s="221"/>
      <c r="B125" s="232"/>
      <c r="C125" s="239"/>
      <c r="D125" s="233"/>
      <c r="E125" s="234"/>
      <c r="F125" s="232"/>
      <c r="G125" s="235"/>
    </row>
    <row r="126" spans="1:7" s="264" customFormat="1" ht="15.75">
      <c r="A126" s="17"/>
      <c r="B126" s="4"/>
      <c r="C126" s="119" t="s">
        <v>209</v>
      </c>
      <c r="D126" s="4"/>
      <c r="E126" s="22"/>
      <c r="F126" s="23"/>
      <c r="G126" s="24"/>
    </row>
    <row r="127" spans="1:7" s="264" customFormat="1" ht="15.75">
      <c r="A127" s="17"/>
      <c r="B127" s="4"/>
      <c r="C127" s="27" t="s">
        <v>90</v>
      </c>
      <c r="D127" s="4"/>
      <c r="E127" s="22"/>
      <c r="F127" s="23"/>
      <c r="G127" s="24"/>
    </row>
    <row r="128" spans="1:7" s="264" customFormat="1" ht="15.75">
      <c r="A128" s="17"/>
      <c r="B128" s="4" t="s">
        <v>18</v>
      </c>
      <c r="C128" s="21" t="s">
        <v>162</v>
      </c>
      <c r="D128" s="4" t="s">
        <v>12</v>
      </c>
      <c r="E128" s="22"/>
      <c r="F128" s="23" t="s">
        <v>13</v>
      </c>
      <c r="G128" s="272">
        <f>C128*E128</f>
        <v>0</v>
      </c>
    </row>
    <row r="129" spans="1:16" s="177" customFormat="1">
      <c r="A129" s="221"/>
      <c r="B129" s="232"/>
      <c r="C129" s="239"/>
      <c r="D129" s="233"/>
      <c r="E129" s="234"/>
      <c r="F129" s="232"/>
      <c r="G129" s="235"/>
    </row>
    <row r="130" spans="1:16" s="237" customFormat="1" ht="15.75">
      <c r="A130" s="259"/>
      <c r="B130" s="105"/>
      <c r="C130" s="260" t="s">
        <v>86</v>
      </c>
      <c r="D130" s="106"/>
      <c r="E130" s="261"/>
      <c r="F130" s="106"/>
      <c r="G130" s="262"/>
      <c r="H130" s="236"/>
      <c r="I130" s="236"/>
      <c r="J130" s="236"/>
      <c r="K130" s="236"/>
      <c r="L130" s="236"/>
      <c r="M130" s="236"/>
      <c r="N130" s="236"/>
      <c r="O130" s="236"/>
      <c r="P130" s="236"/>
    </row>
    <row r="131" spans="1:16" s="237" customFormat="1" ht="15.75">
      <c r="A131" s="259"/>
      <c r="B131" s="105"/>
      <c r="C131" s="263" t="s">
        <v>87</v>
      </c>
      <c r="D131" s="106"/>
      <c r="E131" s="261"/>
      <c r="F131" s="106"/>
      <c r="G131" s="262"/>
      <c r="H131" s="236"/>
      <c r="I131" s="236"/>
      <c r="J131" s="236"/>
      <c r="K131" s="236"/>
      <c r="L131" s="236"/>
      <c r="M131" s="236"/>
      <c r="N131" s="236"/>
      <c r="O131" s="236"/>
      <c r="P131" s="236"/>
    </row>
    <row r="132" spans="1:16" s="237" customFormat="1" ht="15.75">
      <c r="A132" s="259"/>
      <c r="B132" s="105"/>
      <c r="C132" s="263" t="s">
        <v>88</v>
      </c>
      <c r="D132" s="106"/>
      <c r="E132" s="261"/>
      <c r="F132" s="106"/>
      <c r="G132" s="262"/>
      <c r="H132" s="236"/>
      <c r="I132" s="236"/>
      <c r="J132" s="236"/>
      <c r="K132" s="236"/>
      <c r="L132" s="236"/>
      <c r="M132" s="236"/>
      <c r="N132" s="236"/>
      <c r="O132" s="236"/>
      <c r="P132" s="236"/>
    </row>
    <row r="133" spans="1:16" s="4" customFormat="1">
      <c r="A133" s="259"/>
      <c r="B133" s="105"/>
      <c r="C133" s="263" t="s">
        <v>89</v>
      </c>
      <c r="D133" s="106"/>
      <c r="E133" s="261"/>
      <c r="F133" s="106"/>
      <c r="G133" s="262"/>
    </row>
    <row r="134" spans="1:16" s="4" customFormat="1">
      <c r="A134" s="259"/>
      <c r="B134" s="105"/>
      <c r="C134" s="263"/>
      <c r="D134" s="106"/>
      <c r="E134" s="261"/>
      <c r="F134" s="106"/>
      <c r="G134" s="262"/>
    </row>
    <row r="135" spans="1:16" s="4" customFormat="1">
      <c r="A135" s="273"/>
      <c r="B135" s="275"/>
      <c r="C135" s="274"/>
      <c r="D135" s="275"/>
      <c r="E135" s="276"/>
      <c r="F135" s="275"/>
      <c r="G135" s="277"/>
    </row>
    <row r="136" spans="1:16" s="237" customFormat="1" ht="120">
      <c r="A136" s="17" t="s">
        <v>20</v>
      </c>
      <c r="B136" s="10"/>
      <c r="C136" s="16" t="s">
        <v>210</v>
      </c>
      <c r="D136" s="4"/>
      <c r="E136" s="22"/>
      <c r="F136" s="23"/>
      <c r="G136" s="24"/>
      <c r="H136" s="236"/>
      <c r="I136" s="236"/>
      <c r="J136" s="236"/>
      <c r="K136" s="236"/>
      <c r="L136" s="236"/>
      <c r="M136" s="236"/>
      <c r="N136" s="236"/>
      <c r="O136" s="236"/>
      <c r="P136" s="236"/>
    </row>
    <row r="137" spans="1:16" s="264" customFormat="1" ht="45">
      <c r="A137" s="17"/>
      <c r="B137" s="10"/>
      <c r="C137" s="16" t="s">
        <v>101</v>
      </c>
      <c r="D137" s="4"/>
      <c r="E137" s="22"/>
      <c r="F137" s="23"/>
      <c r="G137" s="24"/>
    </row>
    <row r="138" spans="1:16" s="264" customFormat="1" ht="45">
      <c r="A138" s="17"/>
      <c r="B138" s="4"/>
      <c r="C138" s="16" t="s">
        <v>102</v>
      </c>
      <c r="D138" s="4"/>
      <c r="E138" s="22"/>
      <c r="F138" s="23"/>
      <c r="G138" s="24"/>
    </row>
    <row r="139" spans="1:16" s="264" customFormat="1" ht="15.75">
      <c r="A139" s="17"/>
      <c r="B139" s="4"/>
      <c r="C139" s="16"/>
      <c r="D139" s="4"/>
      <c r="E139" s="22"/>
      <c r="F139" s="23"/>
      <c r="G139" s="24"/>
    </row>
    <row r="140" spans="1:16" s="264" customFormat="1" ht="15.75">
      <c r="A140" s="17"/>
      <c r="B140" s="4"/>
      <c r="C140" s="5" t="s">
        <v>69</v>
      </c>
      <c r="D140" s="4"/>
      <c r="E140" s="22"/>
      <c r="F140" s="23"/>
      <c r="G140" s="24"/>
    </row>
    <row r="141" spans="1:16" s="264" customFormat="1" ht="15.75">
      <c r="A141" s="17"/>
      <c r="B141" s="25"/>
      <c r="C141" s="8"/>
      <c r="D141" s="18"/>
      <c r="E141" s="19"/>
      <c r="F141" s="17"/>
      <c r="G141" s="20"/>
    </row>
    <row r="142" spans="1:16" s="177" customFormat="1">
      <c r="A142" s="17"/>
      <c r="B142" s="4"/>
      <c r="C142" s="27"/>
      <c r="D142" s="4"/>
      <c r="E142" s="22"/>
      <c r="F142" s="23"/>
      <c r="G142" s="24"/>
    </row>
    <row r="143" spans="1:16" s="4" customFormat="1">
      <c r="A143" s="17"/>
      <c r="C143" s="119" t="s">
        <v>163</v>
      </c>
      <c r="E143" s="22"/>
      <c r="F143" s="23"/>
      <c r="G143" s="24"/>
    </row>
    <row r="144" spans="1:16" s="4" customFormat="1">
      <c r="A144" s="17"/>
      <c r="C144" s="27" t="s">
        <v>90</v>
      </c>
      <c r="E144" s="22"/>
      <c r="F144" s="23"/>
      <c r="G144" s="24"/>
    </row>
    <row r="145" spans="1:7" s="4" customFormat="1">
      <c r="A145" s="17"/>
      <c r="B145" s="4" t="s">
        <v>18</v>
      </c>
      <c r="C145" s="21" t="s">
        <v>68</v>
      </c>
      <c r="D145" s="4" t="s">
        <v>12</v>
      </c>
      <c r="E145" s="22"/>
      <c r="F145" s="23" t="s">
        <v>13</v>
      </c>
      <c r="G145" s="272">
        <f>C145*E145</f>
        <v>0</v>
      </c>
    </row>
    <row r="146" spans="1:7" s="4" customFormat="1">
      <c r="A146" s="17"/>
      <c r="C146" s="27" t="s">
        <v>70</v>
      </c>
      <c r="E146" s="22"/>
      <c r="F146" s="23"/>
      <c r="G146" s="24"/>
    </row>
    <row r="147" spans="1:7" s="4" customFormat="1">
      <c r="A147" s="17"/>
      <c r="B147" s="4" t="s">
        <v>18</v>
      </c>
      <c r="C147" s="21" t="s">
        <v>159</v>
      </c>
      <c r="D147" s="4" t="s">
        <v>12</v>
      </c>
      <c r="E147" s="22"/>
      <c r="F147" s="23" t="s">
        <v>13</v>
      </c>
      <c r="G147" s="272">
        <f>C147*E147</f>
        <v>0</v>
      </c>
    </row>
    <row r="148" spans="1:7" s="7" customFormat="1" ht="13.5" customHeight="1">
      <c r="A148" s="17"/>
      <c r="B148" s="4"/>
      <c r="C148" s="27" t="s">
        <v>71</v>
      </c>
      <c r="D148" s="4"/>
      <c r="E148" s="22"/>
      <c r="F148" s="23"/>
      <c r="G148" s="24"/>
    </row>
    <row r="149" spans="1:7" s="4" customFormat="1">
      <c r="A149" s="17"/>
      <c r="B149" s="4" t="s">
        <v>18</v>
      </c>
      <c r="C149" s="21" t="s">
        <v>67</v>
      </c>
      <c r="D149" s="4" t="s">
        <v>12</v>
      </c>
      <c r="E149" s="22"/>
      <c r="F149" s="23" t="s">
        <v>13</v>
      </c>
      <c r="G149" s="272">
        <f>C149*E149</f>
        <v>0</v>
      </c>
    </row>
    <row r="150" spans="1:7" s="4" customFormat="1">
      <c r="A150" s="17"/>
      <c r="B150" s="25"/>
      <c r="C150" s="8"/>
      <c r="D150" s="18"/>
      <c r="E150" s="19"/>
      <c r="F150" s="17"/>
      <c r="G150" s="20"/>
    </row>
    <row r="151" spans="1:7" s="4" customFormat="1">
      <c r="A151" s="259"/>
      <c r="B151" s="105"/>
      <c r="C151" s="260" t="s">
        <v>86</v>
      </c>
      <c r="D151" s="106"/>
      <c r="E151" s="261"/>
      <c r="F151" s="106"/>
      <c r="G151" s="262"/>
    </row>
    <row r="152" spans="1:7" s="4" customFormat="1">
      <c r="A152" s="259"/>
      <c r="B152" s="105"/>
      <c r="C152" s="263" t="s">
        <v>87</v>
      </c>
      <c r="D152" s="106"/>
      <c r="E152" s="261"/>
      <c r="F152" s="106"/>
      <c r="G152" s="262"/>
    </row>
    <row r="153" spans="1:7" s="4" customFormat="1">
      <c r="A153" s="259"/>
      <c r="B153" s="105"/>
      <c r="C153" s="263" t="s">
        <v>88</v>
      </c>
      <c r="D153" s="106"/>
      <c r="E153" s="261"/>
      <c r="F153" s="106"/>
      <c r="G153" s="262"/>
    </row>
    <row r="154" spans="1:7" s="4" customFormat="1">
      <c r="A154" s="259"/>
      <c r="B154" s="105"/>
      <c r="C154" s="263" t="s">
        <v>89</v>
      </c>
      <c r="D154" s="106"/>
      <c r="E154" s="261"/>
      <c r="F154" s="106"/>
      <c r="G154" s="262"/>
    </row>
    <row r="155" spans="1:7" s="4" customFormat="1">
      <c r="A155" s="265"/>
      <c r="B155" s="267"/>
      <c r="C155" s="266"/>
      <c r="D155" s="267"/>
      <c r="E155" s="268"/>
      <c r="F155" s="267"/>
      <c r="G155" s="269"/>
    </row>
    <row r="156" spans="1:7" s="4" customFormat="1" ht="60">
      <c r="A156" s="17" t="s">
        <v>21</v>
      </c>
      <c r="B156" s="18"/>
      <c r="C156" s="27" t="s">
        <v>166</v>
      </c>
      <c r="D156" s="18"/>
      <c r="E156" s="19"/>
      <c r="F156" s="17"/>
      <c r="G156" s="20"/>
    </row>
    <row r="157" spans="1:7" s="7" customFormat="1">
      <c r="A157" s="17"/>
      <c r="B157" s="25"/>
      <c r="C157" s="8"/>
      <c r="D157" s="18"/>
      <c r="E157" s="19"/>
      <c r="F157" s="17"/>
      <c r="G157" s="20"/>
    </row>
    <row r="158" spans="1:7" s="264" customFormat="1" ht="15.75">
      <c r="A158" s="120"/>
      <c r="B158" s="121"/>
      <c r="C158" s="122" t="s">
        <v>124</v>
      </c>
      <c r="D158" s="120"/>
      <c r="E158" s="123"/>
      <c r="F158" s="120"/>
      <c r="G158" s="124"/>
    </row>
    <row r="159" spans="1:7" s="264" customFormat="1" ht="15.75">
      <c r="A159" s="126"/>
      <c r="B159" s="70" t="s">
        <v>18</v>
      </c>
      <c r="C159" s="58" t="s">
        <v>164</v>
      </c>
      <c r="D159" s="312" t="s">
        <v>12</v>
      </c>
      <c r="E159" s="127"/>
      <c r="F159" s="128" t="s">
        <v>13</v>
      </c>
      <c r="G159" s="129">
        <f>C159*E159</f>
        <v>0</v>
      </c>
    </row>
    <row r="160" spans="1:7" s="264" customFormat="1" ht="15.75">
      <c r="A160" s="17"/>
      <c r="B160" s="25"/>
      <c r="C160" s="8"/>
      <c r="D160" s="18"/>
      <c r="E160" s="19"/>
      <c r="F160" s="17"/>
      <c r="G160" s="20"/>
    </row>
    <row r="161" spans="1:7" s="264" customFormat="1" ht="15.75">
      <c r="A161" s="120"/>
      <c r="B161" s="121"/>
      <c r="C161" s="122" t="s">
        <v>167</v>
      </c>
      <c r="D161" s="120"/>
      <c r="E161" s="123"/>
      <c r="F161" s="120"/>
      <c r="G161" s="124"/>
    </row>
    <row r="162" spans="1:7" s="4" customFormat="1">
      <c r="A162" s="126"/>
      <c r="B162" s="70" t="s">
        <v>18</v>
      </c>
      <c r="C162" s="58" t="s">
        <v>96</v>
      </c>
      <c r="D162" s="312" t="s">
        <v>12</v>
      </c>
      <c r="E162" s="127"/>
      <c r="F162" s="128" t="s">
        <v>13</v>
      </c>
      <c r="G162" s="129">
        <f>C162*E162</f>
        <v>0</v>
      </c>
    </row>
    <row r="163" spans="1:7" s="7" customFormat="1">
      <c r="A163" s="17"/>
      <c r="B163" s="25"/>
      <c r="C163" s="8"/>
      <c r="D163" s="18"/>
      <c r="E163" s="19"/>
      <c r="F163" s="17"/>
      <c r="G163" s="20"/>
    </row>
    <row r="164" spans="1:7" s="7" customFormat="1">
      <c r="A164" s="126"/>
      <c r="B164" s="70"/>
      <c r="C164" s="260" t="s">
        <v>86</v>
      </c>
      <c r="D164" s="312"/>
      <c r="E164" s="127"/>
      <c r="F164" s="128"/>
      <c r="G164" s="129"/>
    </row>
    <row r="165" spans="1:7" s="125" customFormat="1">
      <c r="A165" s="259"/>
      <c r="B165" s="105"/>
      <c r="C165" s="263" t="s">
        <v>87</v>
      </c>
      <c r="D165" s="106"/>
      <c r="E165" s="261" t="s">
        <v>104</v>
      </c>
      <c r="F165" s="106"/>
      <c r="G165" s="262"/>
    </row>
    <row r="166" spans="1:7">
      <c r="A166" s="259"/>
      <c r="B166" s="105"/>
      <c r="C166" s="263" t="s">
        <v>88</v>
      </c>
      <c r="D166" s="106"/>
      <c r="E166" s="261"/>
      <c r="F166" s="106"/>
      <c r="G166" s="262"/>
    </row>
    <row r="167" spans="1:7" s="7" customFormat="1">
      <c r="A167" s="278"/>
      <c r="B167" s="280"/>
      <c r="C167" s="279" t="s">
        <v>89</v>
      </c>
      <c r="D167" s="282"/>
      <c r="E167" s="281"/>
      <c r="F167" s="282"/>
      <c r="G167" s="283"/>
    </row>
    <row r="168" spans="1:7" s="125" customFormat="1">
      <c r="A168" s="265"/>
      <c r="B168" s="267"/>
      <c r="C168" s="266"/>
      <c r="D168" s="267"/>
      <c r="E168" s="268"/>
      <c r="F168" s="267"/>
      <c r="G168" s="269"/>
    </row>
    <row r="169" spans="1:7" ht="45">
      <c r="A169" s="17" t="s">
        <v>25</v>
      </c>
      <c r="B169" s="10"/>
      <c r="C169" s="284" t="s">
        <v>72</v>
      </c>
      <c r="D169" s="10"/>
      <c r="F169" s="23"/>
    </row>
    <row r="170" spans="1:7" s="7" customFormat="1" ht="30">
      <c r="A170" s="17"/>
      <c r="B170" s="10"/>
      <c r="C170" s="284" t="s">
        <v>191</v>
      </c>
      <c r="D170" s="10"/>
      <c r="E170" s="41"/>
      <c r="F170" s="23"/>
      <c r="G170" s="24"/>
    </row>
    <row r="171" spans="1:7">
      <c r="A171" s="17"/>
      <c r="B171" s="4"/>
      <c r="C171" s="21"/>
      <c r="D171" s="4"/>
      <c r="E171" s="22"/>
      <c r="F171" s="23"/>
      <c r="G171" s="26"/>
    </row>
    <row r="172" spans="1:7" s="264" customFormat="1" ht="30">
      <c r="A172" s="17"/>
      <c r="B172" s="130" t="s">
        <v>219</v>
      </c>
      <c r="C172" s="8" t="s">
        <v>0</v>
      </c>
      <c r="D172" s="4"/>
      <c r="E172" s="22"/>
      <c r="F172" s="23"/>
      <c r="G172" s="26"/>
    </row>
    <row r="173" spans="1:7" s="264" customFormat="1" ht="30">
      <c r="A173" s="17"/>
      <c r="B173" s="10"/>
      <c r="C173" s="8" t="s">
        <v>4</v>
      </c>
      <c r="D173" s="4"/>
      <c r="E173" s="22"/>
      <c r="F173" s="23"/>
      <c r="G173" s="26"/>
    </row>
    <row r="174" spans="1:7" s="285" customFormat="1" ht="15.75">
      <c r="A174" s="17"/>
      <c r="B174" s="4"/>
      <c r="C174" s="27" t="s">
        <v>5</v>
      </c>
      <c r="D174" s="4"/>
      <c r="E174" s="22"/>
      <c r="F174" s="23"/>
      <c r="G174" s="26"/>
    </row>
    <row r="175" spans="1:7" s="4" customFormat="1">
      <c r="A175" s="17"/>
      <c r="B175" s="25"/>
      <c r="C175" s="8"/>
      <c r="D175" s="18"/>
      <c r="E175" s="19"/>
      <c r="F175" s="17"/>
      <c r="G175" s="20"/>
    </row>
    <row r="176" spans="1:7" s="4" customFormat="1">
      <c r="A176" s="17"/>
      <c r="B176" s="4" t="s">
        <v>18</v>
      </c>
      <c r="C176" s="21" t="s">
        <v>153</v>
      </c>
      <c r="D176" s="4" t="s">
        <v>12</v>
      </c>
      <c r="E176" s="22"/>
      <c r="F176" s="23" t="s">
        <v>13</v>
      </c>
      <c r="G176" s="26">
        <f>C176*E176</f>
        <v>0</v>
      </c>
    </row>
    <row r="177" spans="1:7" s="4" customFormat="1">
      <c r="A177" s="17"/>
      <c r="C177" s="21"/>
      <c r="E177" s="22"/>
      <c r="F177" s="23"/>
      <c r="G177" s="26"/>
    </row>
    <row r="178" spans="1:7" s="4" customFormat="1" ht="45">
      <c r="A178" s="17"/>
      <c r="B178" s="17" t="s">
        <v>220</v>
      </c>
      <c r="C178" s="8" t="s">
        <v>105</v>
      </c>
      <c r="E178" s="22"/>
      <c r="F178" s="23"/>
      <c r="G178" s="26"/>
    </row>
    <row r="179" spans="1:7" s="4" customFormat="1" ht="30">
      <c r="A179" s="17"/>
      <c r="B179" s="10"/>
      <c r="C179" s="8" t="s">
        <v>99</v>
      </c>
      <c r="E179" s="22"/>
      <c r="F179" s="23"/>
      <c r="G179" s="26"/>
    </row>
    <row r="180" spans="1:7" s="4" customFormat="1">
      <c r="A180" s="17"/>
      <c r="C180" s="27" t="s">
        <v>69</v>
      </c>
      <c r="E180" s="22"/>
      <c r="F180" s="23"/>
      <c r="G180" s="26"/>
    </row>
    <row r="181" spans="1:7" s="4" customFormat="1">
      <c r="A181" s="17"/>
      <c r="B181" s="25"/>
      <c r="C181" s="8"/>
      <c r="D181" s="18"/>
      <c r="E181" s="19"/>
      <c r="F181" s="17"/>
      <c r="G181" s="20"/>
    </row>
    <row r="182" spans="1:7" s="7" customFormat="1">
      <c r="A182" s="17"/>
      <c r="B182" s="4"/>
      <c r="C182" s="27" t="s">
        <v>90</v>
      </c>
      <c r="D182" s="4"/>
      <c r="E182" s="22"/>
      <c r="F182" s="23"/>
      <c r="G182" s="26"/>
    </row>
    <row r="183" spans="1:7" s="4" customFormat="1">
      <c r="A183" s="17"/>
      <c r="B183" s="4" t="s">
        <v>18</v>
      </c>
      <c r="C183" s="21" t="s">
        <v>67</v>
      </c>
      <c r="D183" s="4" t="s">
        <v>12</v>
      </c>
      <c r="E183" s="22"/>
      <c r="F183" s="23" t="s">
        <v>13</v>
      </c>
      <c r="G183" s="26">
        <f>C183*E183</f>
        <v>0</v>
      </c>
    </row>
    <row r="184" spans="1:7" s="4" customFormat="1">
      <c r="A184" s="17"/>
      <c r="C184" s="27" t="s">
        <v>70</v>
      </c>
      <c r="E184" s="22"/>
      <c r="F184" s="23"/>
      <c r="G184" s="26"/>
    </row>
    <row r="185" spans="1:7" s="4" customFormat="1">
      <c r="A185" s="17"/>
      <c r="B185" s="4" t="s">
        <v>18</v>
      </c>
      <c r="C185" s="21" t="s">
        <v>67</v>
      </c>
      <c r="D185" s="4" t="s">
        <v>12</v>
      </c>
      <c r="E185" s="22"/>
      <c r="F185" s="23" t="s">
        <v>13</v>
      </c>
      <c r="G185" s="26">
        <f>C185*E185</f>
        <v>0</v>
      </c>
    </row>
    <row r="186" spans="1:7" s="4" customFormat="1">
      <c r="A186" s="17"/>
      <c r="C186" s="21"/>
      <c r="E186" s="22"/>
      <c r="F186" s="23"/>
      <c r="G186" s="26"/>
    </row>
    <row r="187" spans="1:7" s="4" customFormat="1" ht="75">
      <c r="A187" s="17"/>
      <c r="B187" s="17" t="s">
        <v>221</v>
      </c>
      <c r="C187" s="8" t="s">
        <v>147</v>
      </c>
      <c r="E187" s="22"/>
      <c r="F187" s="23"/>
      <c r="G187" s="26"/>
    </row>
    <row r="188" spans="1:7" s="7" customFormat="1">
      <c r="A188" s="17"/>
      <c r="B188" s="4"/>
      <c r="C188" s="27" t="s">
        <v>46</v>
      </c>
      <c r="D188" s="4"/>
      <c r="E188" s="22"/>
      <c r="F188" s="23"/>
      <c r="G188" s="26"/>
    </row>
    <row r="189" spans="1:7" s="4" customFormat="1">
      <c r="A189" s="17"/>
      <c r="B189" s="25"/>
      <c r="C189" s="8"/>
      <c r="D189" s="18"/>
      <c r="E189" s="19"/>
      <c r="F189" s="17"/>
      <c r="G189" s="20"/>
    </row>
    <row r="190" spans="1:7" s="4" customFormat="1">
      <c r="A190" s="17"/>
      <c r="B190" s="4" t="s">
        <v>18</v>
      </c>
      <c r="C190" s="170" t="s">
        <v>6</v>
      </c>
      <c r="D190" s="4" t="s">
        <v>12</v>
      </c>
      <c r="E190" s="22"/>
      <c r="F190" s="23" t="s">
        <v>13</v>
      </c>
      <c r="G190" s="26">
        <f>C190*E190</f>
        <v>0</v>
      </c>
    </row>
    <row r="191" spans="1:7" s="4" customFormat="1">
      <c r="A191" s="17"/>
      <c r="B191" s="25"/>
      <c r="C191" s="8"/>
      <c r="D191" s="18"/>
      <c r="E191" s="19"/>
      <c r="F191" s="17"/>
      <c r="G191" s="20"/>
    </row>
    <row r="192" spans="1:7" s="4" customFormat="1">
      <c r="A192" s="259"/>
      <c r="B192" s="105"/>
      <c r="C192" s="260" t="s">
        <v>86</v>
      </c>
      <c r="D192" s="106"/>
      <c r="E192" s="261"/>
      <c r="F192" s="106"/>
      <c r="G192" s="262"/>
    </row>
    <row r="193" spans="1:7" s="4" customFormat="1">
      <c r="A193" s="259"/>
      <c r="B193" s="105"/>
      <c r="C193" s="263" t="s">
        <v>87</v>
      </c>
      <c r="D193" s="106"/>
      <c r="E193" s="261"/>
      <c r="F193" s="106"/>
      <c r="G193" s="262"/>
    </row>
    <row r="194" spans="1:7" s="4" customFormat="1">
      <c r="A194" s="259"/>
      <c r="B194" s="105"/>
      <c r="C194" s="263" t="s">
        <v>88</v>
      </c>
      <c r="D194" s="106"/>
      <c r="E194" s="261"/>
      <c r="F194" s="106"/>
      <c r="G194" s="262"/>
    </row>
    <row r="195" spans="1:7" s="4" customFormat="1">
      <c r="A195" s="259"/>
      <c r="B195" s="105"/>
      <c r="C195" s="263" t="s">
        <v>89</v>
      </c>
      <c r="D195" s="106"/>
      <c r="E195" s="261"/>
      <c r="F195" s="106"/>
      <c r="G195" s="262"/>
    </row>
    <row r="196" spans="1:7" s="7" customFormat="1">
      <c r="A196" s="265"/>
      <c r="B196" s="267"/>
      <c r="C196" s="266"/>
      <c r="D196" s="267"/>
      <c r="E196" s="268"/>
      <c r="F196" s="267"/>
      <c r="G196" s="269"/>
    </row>
    <row r="197" spans="1:7" s="4" customFormat="1" ht="60">
      <c r="A197" s="17" t="s">
        <v>58</v>
      </c>
      <c r="C197" s="16" t="s">
        <v>211</v>
      </c>
      <c r="E197" s="22"/>
      <c r="F197" s="23"/>
      <c r="G197" s="26"/>
    </row>
    <row r="198" spans="1:7" s="7" customFormat="1">
      <c r="A198" s="17"/>
      <c r="B198" s="4"/>
      <c r="C198" s="27" t="s">
        <v>46</v>
      </c>
      <c r="D198" s="4"/>
      <c r="E198" s="22"/>
      <c r="F198" s="23"/>
      <c r="G198" s="26"/>
    </row>
    <row r="199" spans="1:7" s="264" customFormat="1" ht="15.75">
      <c r="A199" s="17"/>
      <c r="B199" s="25"/>
      <c r="C199" s="8"/>
      <c r="D199" s="18"/>
      <c r="E199" s="19"/>
      <c r="F199" s="17"/>
      <c r="G199" s="20"/>
    </row>
    <row r="200" spans="1:7" s="264" customFormat="1" ht="15.75">
      <c r="A200" s="17"/>
      <c r="B200" s="4"/>
      <c r="C200" s="119" t="s">
        <v>165</v>
      </c>
      <c r="D200" s="4"/>
      <c r="E200" s="22"/>
      <c r="F200" s="23"/>
      <c r="G200" s="26"/>
    </row>
    <row r="201" spans="1:7" s="264" customFormat="1" ht="15.75">
      <c r="A201" s="17"/>
      <c r="B201" s="4" t="s">
        <v>18</v>
      </c>
      <c r="C201" s="21" t="s">
        <v>68</v>
      </c>
      <c r="D201" s="4" t="s">
        <v>12</v>
      </c>
      <c r="E201" s="22"/>
      <c r="F201" s="23" t="s">
        <v>13</v>
      </c>
      <c r="G201" s="26">
        <f>C201*E201</f>
        <v>0</v>
      </c>
    </row>
    <row r="202" spans="1:7" s="264" customFormat="1" ht="15.75">
      <c r="A202" s="17"/>
      <c r="B202" s="25"/>
      <c r="C202" s="8"/>
      <c r="D202" s="18"/>
      <c r="E202" s="19"/>
      <c r="F202" s="17"/>
      <c r="G202" s="20"/>
    </row>
    <row r="203" spans="1:7" s="4" customFormat="1">
      <c r="A203" s="259"/>
      <c r="B203" s="105"/>
      <c r="C203" s="260" t="s">
        <v>86</v>
      </c>
      <c r="D203" s="106"/>
      <c r="E203" s="261"/>
      <c r="F203" s="106"/>
      <c r="G203" s="262"/>
    </row>
    <row r="204" spans="1:7" s="4" customFormat="1">
      <c r="A204" s="259"/>
      <c r="B204" s="105"/>
      <c r="C204" s="263" t="s">
        <v>87</v>
      </c>
      <c r="D204" s="106"/>
      <c r="E204" s="261"/>
      <c r="F204" s="106"/>
      <c r="G204" s="262"/>
    </row>
    <row r="205" spans="1:7" s="4" customFormat="1">
      <c r="A205" s="259"/>
      <c r="B205" s="105"/>
      <c r="C205" s="263" t="s">
        <v>88</v>
      </c>
      <c r="D205" s="106"/>
      <c r="E205" s="261"/>
      <c r="F205" s="106"/>
      <c r="G205" s="262"/>
    </row>
    <row r="206" spans="1:7" s="7" customFormat="1">
      <c r="A206" s="259"/>
      <c r="B206" s="105"/>
      <c r="C206" s="263" t="s">
        <v>89</v>
      </c>
      <c r="D206" s="106"/>
      <c r="E206" s="261"/>
      <c r="F206" s="106"/>
      <c r="G206" s="262"/>
    </row>
    <row r="207" spans="1:7" s="4" customFormat="1">
      <c r="A207" s="247"/>
      <c r="B207" s="249"/>
      <c r="C207" s="248"/>
      <c r="D207" s="249"/>
      <c r="E207" s="250"/>
      <c r="F207" s="249"/>
      <c r="G207" s="251"/>
    </row>
    <row r="208" spans="1:7" s="4" customFormat="1" ht="15.75">
      <c r="A208" s="9"/>
      <c r="B208" s="11"/>
      <c r="C208" s="76"/>
      <c r="D208" s="11"/>
      <c r="E208" s="12"/>
      <c r="F208" s="13"/>
      <c r="G208" s="14"/>
    </row>
    <row r="209" spans="1:7" s="7" customFormat="1" ht="15.75">
      <c r="A209" s="131" t="s">
        <v>80</v>
      </c>
      <c r="B209" s="82"/>
      <c r="C209" s="132" t="s">
        <v>84</v>
      </c>
      <c r="D209" s="83"/>
      <c r="E209" s="84"/>
      <c r="F209" s="85" t="s">
        <v>13</v>
      </c>
      <c r="G209" s="86">
        <f>SUM(G27:G206)</f>
        <v>0</v>
      </c>
    </row>
    <row r="210" spans="1:7" s="264" customFormat="1" ht="15.75">
      <c r="A210" s="87"/>
      <c r="B210" s="88"/>
      <c r="C210" s="89"/>
      <c r="D210" s="88"/>
      <c r="E210" s="90"/>
      <c r="F210" s="91"/>
      <c r="G210" s="92"/>
    </row>
    <row r="211" spans="1:7" s="264" customFormat="1" ht="15.75">
      <c r="A211" s="133"/>
      <c r="B211" s="134"/>
      <c r="C211" s="135"/>
      <c r="D211" s="134"/>
      <c r="E211" s="136"/>
      <c r="F211" s="137"/>
      <c r="G211" s="138"/>
    </row>
    <row r="212" spans="1:7" s="264" customFormat="1" ht="15.75">
      <c r="A212" s="97" t="s">
        <v>82</v>
      </c>
      <c r="B212" s="34"/>
      <c r="C212" s="216" t="s">
        <v>83</v>
      </c>
      <c r="D212" s="34"/>
      <c r="E212" s="36"/>
      <c r="F212" s="37"/>
      <c r="G212" s="38"/>
    </row>
    <row r="213" spans="1:7" s="264" customFormat="1" ht="15.75">
      <c r="A213" s="97"/>
      <c r="B213" s="34"/>
      <c r="C213" s="216"/>
      <c r="D213" s="34"/>
      <c r="E213" s="36"/>
      <c r="F213" s="37"/>
      <c r="G213" s="38"/>
    </row>
    <row r="214" spans="1:7" s="4" customFormat="1" ht="90">
      <c r="A214" s="17" t="s">
        <v>10</v>
      </c>
      <c r="B214" s="10"/>
      <c r="C214" s="16" t="s">
        <v>212</v>
      </c>
      <c r="D214" s="10"/>
      <c r="E214" s="41"/>
      <c r="F214" s="23"/>
      <c r="G214" s="24"/>
    </row>
    <row r="215" spans="1:7" s="75" customFormat="1" ht="60">
      <c r="A215" s="17"/>
      <c r="B215" s="10"/>
      <c r="C215" s="16" t="s">
        <v>136</v>
      </c>
      <c r="D215" s="10"/>
      <c r="E215" s="41"/>
      <c r="F215" s="23"/>
      <c r="G215" s="24"/>
    </row>
    <row r="216" spans="1:7" s="75" customFormat="1" ht="15.75">
      <c r="A216" s="17"/>
      <c r="B216" s="18"/>
      <c r="C216" s="16" t="s">
        <v>30</v>
      </c>
      <c r="D216" s="18"/>
      <c r="E216" s="19"/>
      <c r="F216" s="17"/>
      <c r="G216" s="20"/>
    </row>
    <row r="217" spans="1:7" s="75" customFormat="1" ht="15.75">
      <c r="A217" s="17"/>
      <c r="B217" s="18"/>
      <c r="C217" s="16"/>
      <c r="D217" s="18"/>
      <c r="E217" s="19"/>
      <c r="F217" s="17"/>
      <c r="G217" s="20"/>
    </row>
    <row r="218" spans="1:7" s="72" customFormat="1" ht="15.75">
      <c r="A218" s="224"/>
      <c r="B218" s="225"/>
      <c r="C218" s="230" t="s">
        <v>202</v>
      </c>
      <c r="D218" s="226"/>
      <c r="E218" s="227"/>
      <c r="F218" s="228"/>
      <c r="G218" s="229"/>
    </row>
    <row r="219" spans="1:7" s="39" customFormat="1">
      <c r="A219" s="224"/>
      <c r="B219" s="57" t="s">
        <v>11</v>
      </c>
      <c r="C219" s="244">
        <v>1930</v>
      </c>
      <c r="D219" s="226"/>
      <c r="E219" s="227"/>
      <c r="F219" s="228"/>
      <c r="G219" s="229"/>
    </row>
    <row r="220" spans="1:7" s="39" customFormat="1" ht="14.25">
      <c r="A220" s="224"/>
      <c r="B220" s="253"/>
      <c r="C220" s="252"/>
      <c r="D220" s="226"/>
      <c r="E220" s="227"/>
      <c r="F220" s="228"/>
      <c r="G220" s="229"/>
    </row>
    <row r="221" spans="1:7" s="4" customFormat="1" ht="15.75">
      <c r="A221" s="254"/>
      <c r="B221" s="255" t="s">
        <v>11</v>
      </c>
      <c r="C221" s="240">
        <v>1930</v>
      </c>
      <c r="D221" s="311" t="s">
        <v>12</v>
      </c>
      <c r="E221" s="256"/>
      <c r="F221" s="257" t="s">
        <v>13</v>
      </c>
      <c r="G221" s="258">
        <f>C221*E221</f>
        <v>0</v>
      </c>
    </row>
    <row r="222" spans="1:7" s="4" customFormat="1" ht="15.75">
      <c r="A222" s="254"/>
      <c r="B222" s="255"/>
      <c r="C222" s="240"/>
      <c r="D222" s="311"/>
      <c r="E222" s="256"/>
      <c r="F222" s="257"/>
      <c r="G222" s="258"/>
    </row>
    <row r="223" spans="1:7" s="7" customFormat="1">
      <c r="A223" s="42"/>
      <c r="B223" s="50"/>
      <c r="C223" s="58"/>
      <c r="D223" s="50"/>
      <c r="E223" s="41"/>
      <c r="F223" s="51"/>
      <c r="G223" s="26"/>
    </row>
    <row r="224" spans="1:7" s="7" customFormat="1" ht="90">
      <c r="A224" s="17" t="s">
        <v>14</v>
      </c>
      <c r="B224" s="10"/>
      <c r="C224" s="16" t="s">
        <v>213</v>
      </c>
      <c r="D224" s="10"/>
      <c r="E224" s="41"/>
      <c r="F224" s="23"/>
      <c r="G224" s="24"/>
    </row>
    <row r="225" spans="1:16" s="223" customFormat="1" ht="60">
      <c r="A225" s="17"/>
      <c r="B225" s="10"/>
      <c r="C225" s="16" t="s">
        <v>136</v>
      </c>
      <c r="D225" s="10"/>
      <c r="E225" s="41"/>
      <c r="F225" s="23"/>
      <c r="G225" s="24"/>
      <c r="H225" s="222"/>
      <c r="I225" s="222"/>
      <c r="J225" s="222"/>
      <c r="K225" s="222"/>
      <c r="L225" s="222"/>
      <c r="M225" s="222"/>
      <c r="N225" s="222"/>
      <c r="O225" s="222"/>
      <c r="P225" s="222"/>
    </row>
    <row r="226" spans="1:16" s="223" customFormat="1">
      <c r="A226" s="17"/>
      <c r="B226" s="18"/>
      <c r="C226" s="16" t="s">
        <v>30</v>
      </c>
      <c r="D226" s="18"/>
      <c r="E226" s="19"/>
      <c r="F226" s="17"/>
      <c r="G226" s="20"/>
      <c r="H226" s="222"/>
      <c r="I226" s="222"/>
      <c r="J226" s="222"/>
      <c r="K226" s="222"/>
      <c r="L226" s="222"/>
      <c r="M226" s="222"/>
      <c r="N226" s="222"/>
      <c r="O226" s="222"/>
      <c r="P226" s="222"/>
    </row>
    <row r="227" spans="1:16" s="223" customFormat="1">
      <c r="A227" s="17"/>
      <c r="B227" s="18"/>
      <c r="C227" s="16"/>
      <c r="D227" s="18"/>
      <c r="E227" s="19"/>
      <c r="F227" s="17"/>
      <c r="G227" s="20"/>
      <c r="H227" s="222"/>
      <c r="I227" s="222"/>
      <c r="J227" s="222"/>
      <c r="K227" s="222"/>
      <c r="L227" s="222"/>
      <c r="M227" s="222"/>
      <c r="N227" s="222"/>
      <c r="O227" s="222"/>
      <c r="P227" s="222"/>
    </row>
    <row r="228" spans="1:16" s="103" customFormat="1" ht="15.75">
      <c r="A228" s="193"/>
      <c r="B228" s="194"/>
      <c r="C228" s="195" t="s">
        <v>149</v>
      </c>
      <c r="D228" s="194"/>
      <c r="E228" s="196"/>
      <c r="F228" s="197"/>
      <c r="G228" s="198"/>
    </row>
    <row r="229" spans="1:16" s="103" customFormat="1" ht="15.75">
      <c r="A229" s="98"/>
      <c r="B229" s="99"/>
      <c r="C229" s="200" t="s">
        <v>152</v>
      </c>
      <c r="D229" s="99"/>
      <c r="E229" s="100"/>
      <c r="F229" s="101"/>
      <c r="G229" s="102"/>
    </row>
    <row r="230" spans="1:16" ht="15.75">
      <c r="A230" s="46"/>
      <c r="B230" s="57" t="s">
        <v>11</v>
      </c>
      <c r="C230" s="244" t="s">
        <v>214</v>
      </c>
      <c r="D230" s="311"/>
      <c r="E230" s="256"/>
      <c r="F230" s="257"/>
      <c r="G230" s="258"/>
    </row>
    <row r="231" spans="1:16" s="4" customFormat="1" ht="15.75">
      <c r="A231" s="46"/>
      <c r="B231" s="57"/>
      <c r="C231" s="244"/>
      <c r="D231" s="311"/>
      <c r="E231" s="256"/>
      <c r="F231" s="257"/>
      <c r="G231" s="258"/>
    </row>
    <row r="232" spans="1:16" s="4" customFormat="1" ht="15.75">
      <c r="A232" s="286"/>
      <c r="B232" s="288" t="s">
        <v>11</v>
      </c>
      <c r="C232" s="287">
        <v>586</v>
      </c>
      <c r="D232" s="313" t="s">
        <v>12</v>
      </c>
      <c r="E232" s="289"/>
      <c r="F232" s="290" t="s">
        <v>13</v>
      </c>
      <c r="G232" s="291">
        <f>C232*E232</f>
        <v>0</v>
      </c>
    </row>
    <row r="233" spans="1:16" s="7" customFormat="1">
      <c r="A233" s="17"/>
      <c r="B233" s="25"/>
      <c r="C233" s="8"/>
      <c r="D233" s="18"/>
      <c r="E233" s="19"/>
      <c r="F233" s="17"/>
      <c r="G233" s="20"/>
    </row>
    <row r="234" spans="1:16" s="7" customFormat="1">
      <c r="A234" s="265"/>
      <c r="B234" s="267"/>
      <c r="C234" s="266"/>
      <c r="D234" s="267"/>
      <c r="E234" s="268"/>
      <c r="F234" s="267"/>
      <c r="G234" s="269"/>
    </row>
    <row r="235" spans="1:16" s="199" customFormat="1" ht="60">
      <c r="A235" s="17" t="s">
        <v>16</v>
      </c>
      <c r="B235" s="10"/>
      <c r="C235" s="8" t="s">
        <v>113</v>
      </c>
      <c r="D235" s="10"/>
      <c r="E235" s="41"/>
      <c r="F235" s="23"/>
      <c r="G235" s="24"/>
    </row>
    <row r="236" spans="1:16" s="103" customFormat="1" ht="60">
      <c r="A236" s="17"/>
      <c r="B236" s="10"/>
      <c r="C236" s="8" t="s">
        <v>138</v>
      </c>
      <c r="D236" s="10"/>
      <c r="E236" s="41"/>
      <c r="F236" s="23"/>
      <c r="G236" s="24"/>
    </row>
    <row r="237" spans="1:16" s="44" customFormat="1" ht="75">
      <c r="A237" s="17"/>
      <c r="B237" s="10"/>
      <c r="C237" s="16" t="s">
        <v>137</v>
      </c>
      <c r="D237" s="10"/>
      <c r="E237" s="41"/>
      <c r="F237" s="23"/>
      <c r="G237" s="24"/>
    </row>
    <row r="238" spans="1:16" s="44" customFormat="1">
      <c r="A238" s="17"/>
      <c r="B238" s="18"/>
      <c r="C238" s="8" t="s">
        <v>73</v>
      </c>
      <c r="D238" s="18"/>
      <c r="E238" s="19"/>
      <c r="F238" s="17"/>
      <c r="G238" s="20"/>
    </row>
    <row r="239" spans="1:16" s="199" customFormat="1" ht="15.75">
      <c r="A239" s="17"/>
      <c r="B239" s="25"/>
      <c r="C239" s="8"/>
      <c r="D239" s="18"/>
      <c r="E239" s="19"/>
      <c r="F239" s="17"/>
      <c r="G239" s="20"/>
    </row>
    <row r="240" spans="1:16" s="7" customFormat="1">
      <c r="A240" s="17"/>
      <c r="B240" s="18"/>
      <c r="C240" s="139" t="s">
        <v>75</v>
      </c>
      <c r="D240" s="18"/>
      <c r="E240" s="19"/>
      <c r="F240" s="17"/>
      <c r="G240" s="20"/>
    </row>
    <row r="241" spans="1:7" s="4" customFormat="1">
      <c r="A241" s="17"/>
      <c r="B241" s="4" t="s">
        <v>18</v>
      </c>
      <c r="C241" s="21" t="s">
        <v>164</v>
      </c>
      <c r="D241" s="4" t="s">
        <v>12</v>
      </c>
      <c r="E241" s="22"/>
      <c r="F241" s="23" t="s">
        <v>13</v>
      </c>
      <c r="G241" s="24">
        <f>C241*E241</f>
        <v>0</v>
      </c>
    </row>
    <row r="242" spans="1:7" s="4" customFormat="1">
      <c r="A242" s="17"/>
      <c r="B242" s="25"/>
      <c r="C242" s="8"/>
      <c r="D242" s="18"/>
      <c r="E242" s="19"/>
      <c r="F242" s="17"/>
      <c r="G242" s="20"/>
    </row>
    <row r="243" spans="1:7" s="4" customFormat="1">
      <c r="A243" s="17"/>
      <c r="C243" s="139" t="s">
        <v>74</v>
      </c>
      <c r="E243" s="22"/>
      <c r="F243" s="23"/>
      <c r="G243" s="24"/>
    </row>
    <row r="244" spans="1:7" s="4" customFormat="1">
      <c r="A244" s="17"/>
      <c r="B244" s="4" t="s">
        <v>18</v>
      </c>
      <c r="C244" s="21" t="s">
        <v>177</v>
      </c>
      <c r="D244" s="4" t="s">
        <v>12</v>
      </c>
      <c r="E244" s="22"/>
      <c r="F244" s="23" t="s">
        <v>13</v>
      </c>
      <c r="G244" s="24">
        <f>C244*E244</f>
        <v>0</v>
      </c>
    </row>
    <row r="245" spans="1:7" s="4" customFormat="1">
      <c r="A245" s="17"/>
      <c r="B245" s="25"/>
      <c r="C245" s="8"/>
      <c r="D245" s="18"/>
      <c r="E245" s="19"/>
      <c r="F245" s="17"/>
      <c r="G245" s="20"/>
    </row>
    <row r="246" spans="1:7" s="7" customFormat="1">
      <c r="A246" s="17"/>
      <c r="B246" s="4"/>
      <c r="C246" s="139" t="s">
        <v>114</v>
      </c>
      <c r="D246" s="4"/>
      <c r="E246" s="22"/>
      <c r="F246" s="23"/>
      <c r="G246" s="24"/>
    </row>
    <row r="247" spans="1:7" s="7" customFormat="1">
      <c r="A247" s="17"/>
      <c r="B247" s="4" t="s">
        <v>18</v>
      </c>
      <c r="C247" s="21" t="s">
        <v>215</v>
      </c>
      <c r="D247" s="4" t="s">
        <v>12</v>
      </c>
      <c r="E247" s="22"/>
      <c r="F247" s="23" t="s">
        <v>13</v>
      </c>
      <c r="G247" s="24">
        <f>C247*E247</f>
        <v>0</v>
      </c>
    </row>
    <row r="248" spans="1:7" s="4" customFormat="1">
      <c r="A248" s="17"/>
      <c r="C248" s="21"/>
      <c r="E248" s="22"/>
      <c r="F248" s="23"/>
      <c r="G248" s="24"/>
    </row>
    <row r="249" spans="1:7" s="7" customFormat="1" ht="45">
      <c r="A249" s="180" t="s">
        <v>17</v>
      </c>
      <c r="B249" s="182"/>
      <c r="C249" s="183" t="s">
        <v>192</v>
      </c>
      <c r="D249" s="217"/>
      <c r="E249" s="246"/>
      <c r="F249" s="217"/>
      <c r="G249" s="218"/>
    </row>
    <row r="250" spans="1:7" s="4" customFormat="1" ht="45">
      <c r="A250" s="176"/>
      <c r="B250" s="177"/>
      <c r="C250" s="183" t="s">
        <v>24</v>
      </c>
      <c r="D250" s="177"/>
      <c r="E250" s="201"/>
      <c r="F250" s="181"/>
      <c r="G250" s="184"/>
    </row>
    <row r="251" spans="1:7" s="4" customFormat="1" ht="30">
      <c r="A251" s="176"/>
      <c r="B251" s="188"/>
      <c r="C251" s="186" t="s">
        <v>193</v>
      </c>
      <c r="D251" s="188"/>
      <c r="E251" s="189"/>
      <c r="F251" s="180"/>
      <c r="G251" s="202"/>
    </row>
    <row r="252" spans="1:7" s="7" customFormat="1">
      <c r="A252" s="203"/>
      <c r="B252" s="204"/>
      <c r="C252" s="205" t="s">
        <v>167</v>
      </c>
      <c r="D252" s="203"/>
      <c r="E252" s="206"/>
      <c r="F252" s="203"/>
      <c r="G252" s="207"/>
    </row>
    <row r="253" spans="1:7" s="4" customFormat="1">
      <c r="A253" s="203"/>
      <c r="B253" s="204"/>
      <c r="C253" s="205"/>
      <c r="D253" s="203"/>
      <c r="E253" s="206"/>
      <c r="F253" s="203"/>
      <c r="G253" s="207"/>
    </row>
    <row r="254" spans="1:7" s="4" customFormat="1">
      <c r="A254" s="209"/>
      <c r="B254" s="292" t="s">
        <v>18</v>
      </c>
      <c r="C254" s="210" t="s">
        <v>96</v>
      </c>
      <c r="D254" s="314" t="s">
        <v>12</v>
      </c>
      <c r="E254" s="212"/>
      <c r="F254" s="213" t="s">
        <v>13</v>
      </c>
      <c r="G254" s="214">
        <f>C254*E254</f>
        <v>0</v>
      </c>
    </row>
    <row r="255" spans="1:7" s="4" customFormat="1">
      <c r="A255" s="17"/>
      <c r="C255" s="21"/>
      <c r="E255" s="22"/>
      <c r="F255" s="23"/>
      <c r="G255" s="24"/>
    </row>
    <row r="256" spans="1:7" s="177" customFormat="1" ht="30">
      <c r="A256" s="42" t="s">
        <v>19</v>
      </c>
      <c r="B256" s="293"/>
      <c r="C256" s="8" t="s">
        <v>150</v>
      </c>
      <c r="D256" s="293"/>
      <c r="E256" s="294"/>
      <c r="F256" s="293"/>
      <c r="G256" s="295"/>
    </row>
    <row r="257" spans="1:7" s="177" customFormat="1" ht="45">
      <c r="A257" s="296"/>
      <c r="B257" s="293"/>
      <c r="C257" s="8" t="s">
        <v>94</v>
      </c>
      <c r="D257" s="293"/>
      <c r="E257" s="294"/>
      <c r="F257" s="293"/>
      <c r="G257" s="295"/>
    </row>
    <row r="258" spans="1:7" s="179" customFormat="1">
      <c r="A258" s="42"/>
      <c r="B258" s="140"/>
      <c r="C258" s="141" t="s">
        <v>93</v>
      </c>
      <c r="D258" s="50"/>
      <c r="E258" s="41"/>
      <c r="F258" s="51"/>
      <c r="G258" s="24"/>
    </row>
    <row r="259" spans="1:7" s="208" customFormat="1">
      <c r="A259" s="42"/>
      <c r="B259" s="140"/>
      <c r="C259" s="141"/>
      <c r="D259" s="50"/>
      <c r="E259" s="41"/>
      <c r="F259" s="51"/>
      <c r="G259" s="24"/>
    </row>
    <row r="260" spans="1:7" s="208" customFormat="1" ht="15.75">
      <c r="A260" s="193"/>
      <c r="B260" s="194" t="s">
        <v>194</v>
      </c>
      <c r="C260" s="195" t="s">
        <v>216</v>
      </c>
      <c r="D260" s="194"/>
      <c r="E260" s="196"/>
      <c r="F260" s="197"/>
      <c r="G260" s="198"/>
    </row>
    <row r="261" spans="1:7" s="215" customFormat="1" ht="15.75">
      <c r="A261" s="98"/>
      <c r="B261" s="99"/>
      <c r="C261" s="200" t="s">
        <v>151</v>
      </c>
      <c r="D261" s="99"/>
      <c r="E261" s="100"/>
      <c r="F261" s="101"/>
      <c r="G261" s="102"/>
    </row>
    <row r="262" spans="1:7" s="4" customFormat="1" ht="15.75">
      <c r="A262" s="46"/>
      <c r="B262" s="57" t="s">
        <v>11</v>
      </c>
      <c r="C262" s="244" t="s">
        <v>217</v>
      </c>
      <c r="D262" s="311"/>
      <c r="E262" s="256"/>
      <c r="F262" s="257"/>
      <c r="G262" s="258"/>
    </row>
    <row r="263" spans="1:7" s="297" customFormat="1" ht="15.75">
      <c r="A263" s="46"/>
      <c r="B263" s="57"/>
      <c r="C263" s="244"/>
      <c r="D263" s="311"/>
      <c r="E263" s="256"/>
      <c r="F263" s="257"/>
      <c r="G263" s="258"/>
    </row>
    <row r="264" spans="1:7" s="297" customFormat="1" ht="15.75">
      <c r="A264" s="286"/>
      <c r="B264" s="288" t="s">
        <v>11</v>
      </c>
      <c r="C264" s="287">
        <v>1930</v>
      </c>
      <c r="D264" s="313" t="s">
        <v>12</v>
      </c>
      <c r="E264" s="289"/>
      <c r="F264" s="290" t="s">
        <v>13</v>
      </c>
      <c r="G264" s="291">
        <f>C264*E264</f>
        <v>0</v>
      </c>
    </row>
    <row r="265" spans="1:7">
      <c r="A265" s="46"/>
      <c r="B265" s="57"/>
      <c r="C265" s="244"/>
      <c r="D265" s="43"/>
      <c r="E265" s="48"/>
      <c r="F265" s="46"/>
      <c r="G265" s="49"/>
    </row>
    <row r="266" spans="1:7" ht="15.75">
      <c r="A266" s="193"/>
      <c r="B266" s="194" t="s">
        <v>195</v>
      </c>
      <c r="C266" s="195" t="s">
        <v>149</v>
      </c>
      <c r="D266" s="194"/>
      <c r="E266" s="196"/>
      <c r="F266" s="197"/>
      <c r="G266" s="198"/>
    </row>
    <row r="267" spans="1:7" s="199" customFormat="1" ht="15.75">
      <c r="A267" s="98"/>
      <c r="B267" s="99"/>
      <c r="C267" s="200" t="s">
        <v>152</v>
      </c>
      <c r="D267" s="99"/>
      <c r="E267" s="100"/>
      <c r="F267" s="101"/>
      <c r="G267" s="102"/>
    </row>
    <row r="268" spans="1:7" s="103" customFormat="1" ht="15.75">
      <c r="A268" s="46"/>
      <c r="B268" s="57" t="s">
        <v>11</v>
      </c>
      <c r="C268" s="244" t="s">
        <v>214</v>
      </c>
      <c r="D268" s="311"/>
      <c r="E268" s="256"/>
      <c r="F268" s="257"/>
      <c r="G268" s="258"/>
    </row>
    <row r="269" spans="1:7" s="44" customFormat="1" ht="15.75">
      <c r="A269" s="46"/>
      <c r="B269" s="57"/>
      <c r="C269" s="244"/>
      <c r="D269" s="311"/>
      <c r="E269" s="256"/>
      <c r="F269" s="257"/>
      <c r="G269" s="258"/>
    </row>
    <row r="270" spans="1:7" s="44" customFormat="1" ht="15.75">
      <c r="A270" s="286"/>
      <c r="B270" s="288" t="s">
        <v>11</v>
      </c>
      <c r="C270" s="287">
        <v>586</v>
      </c>
      <c r="D270" s="313" t="s">
        <v>12</v>
      </c>
      <c r="E270" s="289"/>
      <c r="F270" s="290" t="s">
        <v>13</v>
      </c>
      <c r="G270" s="291">
        <f>C270*E270</f>
        <v>0</v>
      </c>
    </row>
    <row r="271" spans="1:7" s="199" customFormat="1" ht="15.75">
      <c r="A271" s="17"/>
      <c r="B271" s="25"/>
      <c r="C271" s="8"/>
      <c r="D271" s="18"/>
      <c r="E271" s="19"/>
      <c r="F271" s="17"/>
      <c r="G271" s="20"/>
    </row>
    <row r="272" spans="1:7" s="44" customFormat="1" ht="90">
      <c r="A272" s="42" t="s">
        <v>20</v>
      </c>
      <c r="B272" s="293"/>
      <c r="C272" s="298" t="s">
        <v>168</v>
      </c>
      <c r="D272" s="293"/>
      <c r="E272" s="294"/>
      <c r="F272" s="293"/>
      <c r="G272" s="295"/>
    </row>
    <row r="273" spans="1:7" s="199" customFormat="1" ht="180">
      <c r="A273" s="296"/>
      <c r="B273" s="293"/>
      <c r="C273" s="298" t="s">
        <v>139</v>
      </c>
      <c r="D273" s="293"/>
      <c r="E273" s="294"/>
      <c r="F273" s="293"/>
      <c r="G273" s="295"/>
    </row>
    <row r="274" spans="1:7" s="103" customFormat="1" ht="75">
      <c r="A274" s="296"/>
      <c r="B274" s="293"/>
      <c r="C274" s="298" t="s">
        <v>140</v>
      </c>
      <c r="D274" s="293"/>
      <c r="E274" s="294"/>
      <c r="F274" s="293"/>
      <c r="G274" s="295"/>
    </row>
    <row r="275" spans="1:7" s="44" customFormat="1">
      <c r="A275" s="42"/>
      <c r="B275" s="140"/>
      <c r="C275" s="140" t="s">
        <v>55</v>
      </c>
      <c r="D275" s="50"/>
      <c r="E275" s="41"/>
      <c r="F275" s="51"/>
      <c r="G275" s="24"/>
    </row>
    <row r="276" spans="1:7" s="44" customFormat="1">
      <c r="A276" s="17"/>
      <c r="B276" s="25"/>
      <c r="C276" s="8"/>
      <c r="D276" s="18"/>
      <c r="E276" s="19"/>
      <c r="F276" s="17"/>
      <c r="G276" s="20"/>
    </row>
    <row r="277" spans="1:7" s="199" customFormat="1" ht="15.75">
      <c r="A277" s="193"/>
      <c r="B277" s="194" t="s">
        <v>97</v>
      </c>
      <c r="C277" s="195" t="s">
        <v>216</v>
      </c>
      <c r="D277" s="194"/>
      <c r="E277" s="196"/>
      <c r="F277" s="197"/>
      <c r="G277" s="198"/>
    </row>
    <row r="278" spans="1:7" s="7" customFormat="1" ht="12.75" customHeight="1">
      <c r="A278" s="98"/>
      <c r="B278" s="99"/>
      <c r="C278" s="200" t="s">
        <v>151</v>
      </c>
      <c r="D278" s="99"/>
      <c r="E278" s="100"/>
      <c r="F278" s="101"/>
      <c r="G278" s="102"/>
    </row>
    <row r="279" spans="1:7" s="297" customFormat="1" ht="15.75">
      <c r="A279" s="46"/>
      <c r="B279" s="57" t="s">
        <v>11</v>
      </c>
      <c r="C279" s="244" t="s">
        <v>217</v>
      </c>
      <c r="D279" s="311"/>
      <c r="E279" s="256"/>
      <c r="F279" s="257"/>
      <c r="G279" s="258"/>
    </row>
    <row r="280" spans="1:7" s="297" customFormat="1" ht="15.75">
      <c r="A280" s="46"/>
      <c r="B280" s="57"/>
      <c r="C280" s="244"/>
      <c r="D280" s="311"/>
      <c r="E280" s="256"/>
      <c r="F280" s="257"/>
      <c r="G280" s="258"/>
    </row>
    <row r="281" spans="1:7" s="297" customFormat="1" ht="15.75">
      <c r="A281" s="286"/>
      <c r="B281" s="288" t="s">
        <v>11</v>
      </c>
      <c r="C281" s="287">
        <v>1930</v>
      </c>
      <c r="D281" s="313" t="s">
        <v>12</v>
      </c>
      <c r="E281" s="289"/>
      <c r="F281" s="290" t="s">
        <v>13</v>
      </c>
      <c r="G281" s="291">
        <f>C281*E281</f>
        <v>0</v>
      </c>
    </row>
    <row r="282" spans="1:7">
      <c r="A282" s="46"/>
      <c r="B282" s="57"/>
      <c r="C282" s="244"/>
      <c r="D282" s="43"/>
      <c r="E282" s="48"/>
      <c r="F282" s="46"/>
      <c r="G282" s="49"/>
    </row>
    <row r="283" spans="1:7" s="7" customFormat="1" ht="15.75">
      <c r="A283" s="193"/>
      <c r="B283" s="194" t="s">
        <v>98</v>
      </c>
      <c r="C283" s="195" t="s">
        <v>149</v>
      </c>
      <c r="D283" s="194"/>
      <c r="E283" s="196"/>
      <c r="F283" s="197"/>
      <c r="G283" s="198"/>
    </row>
    <row r="284" spans="1:7" s="199" customFormat="1" ht="15.75">
      <c r="A284" s="98"/>
      <c r="B284" s="99"/>
      <c r="C284" s="200" t="s">
        <v>152</v>
      </c>
      <c r="D284" s="99"/>
      <c r="E284" s="100"/>
      <c r="F284" s="101"/>
      <c r="G284" s="102"/>
    </row>
    <row r="285" spans="1:7" s="103" customFormat="1" ht="15.75">
      <c r="A285" s="46"/>
      <c r="B285" s="57" t="s">
        <v>11</v>
      </c>
      <c r="C285" s="244" t="s">
        <v>214</v>
      </c>
      <c r="D285" s="311"/>
      <c r="E285" s="256"/>
      <c r="F285" s="257"/>
      <c r="G285" s="258"/>
    </row>
    <row r="286" spans="1:7" s="44" customFormat="1" ht="15.75">
      <c r="A286" s="46"/>
      <c r="B286" s="57"/>
      <c r="C286" s="244"/>
      <c r="D286" s="311"/>
      <c r="E286" s="256"/>
      <c r="F286" s="257"/>
      <c r="G286" s="258"/>
    </row>
    <row r="287" spans="1:7" s="44" customFormat="1" ht="15.75">
      <c r="A287" s="286"/>
      <c r="B287" s="288" t="s">
        <v>11</v>
      </c>
      <c r="C287" s="287">
        <v>586</v>
      </c>
      <c r="D287" s="313" t="s">
        <v>12</v>
      </c>
      <c r="E287" s="289"/>
      <c r="F287" s="290" t="s">
        <v>13</v>
      </c>
      <c r="G287" s="291">
        <f>C287*E287</f>
        <v>0</v>
      </c>
    </row>
    <row r="288" spans="1:7" s="199" customFormat="1" ht="15.75">
      <c r="A288" s="286"/>
      <c r="B288" s="288"/>
      <c r="C288" s="287"/>
      <c r="D288" s="313"/>
      <c r="E288" s="289"/>
      <c r="F288" s="290"/>
      <c r="G288" s="291"/>
    </row>
    <row r="289" spans="1:7" s="44" customFormat="1" ht="15.75">
      <c r="A289" s="243"/>
      <c r="B289" s="65"/>
      <c r="C289" s="245"/>
      <c r="D289" s="315"/>
      <c r="E289" s="299"/>
      <c r="F289" s="300"/>
      <c r="G289" s="301"/>
    </row>
    <row r="290" spans="1:7" s="199" customFormat="1" ht="15.75">
      <c r="A290" s="9"/>
      <c r="B290" s="11"/>
      <c r="C290" s="76"/>
      <c r="D290" s="11"/>
      <c r="E290" s="12"/>
      <c r="F290" s="13"/>
      <c r="G290" s="14"/>
    </row>
    <row r="291" spans="1:7" s="103" customFormat="1" ht="15.75">
      <c r="A291" s="131" t="s">
        <v>82</v>
      </c>
      <c r="B291" s="82"/>
      <c r="C291" s="132" t="s">
        <v>85</v>
      </c>
      <c r="D291" s="83"/>
      <c r="E291" s="84"/>
      <c r="F291" s="85" t="s">
        <v>13</v>
      </c>
      <c r="G291" s="86">
        <f>SUM(G228:G276)</f>
        <v>0</v>
      </c>
    </row>
    <row r="292" spans="1:7" s="44" customFormat="1" ht="15.75">
      <c r="A292" s="87"/>
      <c r="B292" s="88"/>
      <c r="C292" s="89"/>
      <c r="D292" s="88"/>
      <c r="E292" s="90"/>
      <c r="F292" s="91"/>
      <c r="G292" s="92"/>
    </row>
    <row r="293" spans="1:7" s="44" customFormat="1">
      <c r="A293" s="46"/>
      <c r="B293" s="57"/>
      <c r="C293" s="240"/>
      <c r="D293" s="50"/>
      <c r="E293" s="241"/>
      <c r="F293" s="128"/>
      <c r="G293" s="242"/>
    </row>
    <row r="294" spans="1:7" s="199" customFormat="1" ht="47.25">
      <c r="A294" s="33" t="s">
        <v>32</v>
      </c>
      <c r="B294" s="34"/>
      <c r="C294" s="302" t="s">
        <v>41</v>
      </c>
      <c r="D294" s="34"/>
      <c r="E294" s="36"/>
      <c r="F294" s="37"/>
      <c r="G294" s="38"/>
    </row>
    <row r="295" spans="1:7" s="199" customFormat="1" ht="15.75">
      <c r="A295" s="33"/>
      <c r="B295" s="34"/>
      <c r="C295" s="35"/>
      <c r="D295" s="34"/>
      <c r="E295" s="36"/>
      <c r="F295" s="37"/>
      <c r="G295" s="38"/>
    </row>
    <row r="296" spans="1:7" s="44" customFormat="1" ht="28.5">
      <c r="A296" s="42" t="s">
        <v>10</v>
      </c>
      <c r="B296" s="43"/>
      <c r="C296" s="142" t="s">
        <v>42</v>
      </c>
      <c r="D296" s="43"/>
      <c r="E296" s="19"/>
      <c r="F296" s="42"/>
      <c r="G296" s="20"/>
    </row>
    <row r="297" spans="1:7" s="72" customFormat="1" ht="60">
      <c r="A297" s="42"/>
      <c r="B297" s="43"/>
      <c r="C297" s="8" t="s">
        <v>125</v>
      </c>
      <c r="D297" s="43"/>
      <c r="E297" s="19"/>
      <c r="F297" s="42"/>
      <c r="G297" s="20"/>
    </row>
    <row r="298" spans="1:7" s="72" customFormat="1" ht="45">
      <c r="A298" s="42"/>
      <c r="B298" s="50"/>
      <c r="C298" s="47" t="s">
        <v>43</v>
      </c>
      <c r="D298" s="50"/>
      <c r="E298" s="41"/>
      <c r="F298" s="51"/>
      <c r="G298" s="24"/>
    </row>
    <row r="299" spans="1:7" s="72" customFormat="1" ht="15.75">
      <c r="A299" s="42"/>
      <c r="B299" s="50"/>
      <c r="C299" s="47" t="s">
        <v>44</v>
      </c>
      <c r="D299" s="50"/>
      <c r="E299" s="41"/>
      <c r="F299" s="51"/>
      <c r="G299" s="24"/>
    </row>
    <row r="300" spans="1:7" s="44" customFormat="1">
      <c r="A300" s="17"/>
      <c r="B300" s="25"/>
      <c r="C300" s="8"/>
      <c r="D300" s="18"/>
      <c r="E300" s="19"/>
      <c r="F300" s="17"/>
      <c r="G300" s="20"/>
    </row>
    <row r="301" spans="1:7" s="39" customFormat="1">
      <c r="A301" s="42"/>
      <c r="B301" s="50" t="s">
        <v>8</v>
      </c>
      <c r="C301" s="143" t="s">
        <v>7</v>
      </c>
      <c r="D301" s="50"/>
      <c r="E301" s="41"/>
      <c r="F301" s="51"/>
      <c r="G301" s="24"/>
    </row>
    <row r="302" spans="1:7" s="39" customFormat="1" ht="33">
      <c r="A302" s="118"/>
      <c r="B302" s="10"/>
      <c r="C302" s="144" t="s">
        <v>131</v>
      </c>
      <c r="D302" s="10"/>
      <c r="E302" s="74"/>
      <c r="F302" s="23"/>
      <c r="G302" s="26"/>
    </row>
    <row r="303" spans="1:7" s="44" customFormat="1" ht="18">
      <c r="A303" s="42"/>
      <c r="B303" s="50"/>
      <c r="C303" s="143" t="s">
        <v>130</v>
      </c>
      <c r="D303" s="50"/>
      <c r="E303" s="41"/>
      <c r="F303" s="51"/>
      <c r="G303" s="24"/>
    </row>
    <row r="304" spans="1:7" s="44" customFormat="1" ht="18">
      <c r="A304" s="42"/>
      <c r="B304" s="50"/>
      <c r="C304" s="143" t="s">
        <v>119</v>
      </c>
      <c r="D304" s="50"/>
      <c r="E304" s="41"/>
      <c r="F304" s="51"/>
      <c r="G304" s="24"/>
    </row>
    <row r="305" spans="1:7" ht="18">
      <c r="C305" s="143" t="s">
        <v>120</v>
      </c>
    </row>
    <row r="306" spans="1:7" ht="18">
      <c r="C306" s="143" t="s">
        <v>132</v>
      </c>
    </row>
    <row r="307" spans="1:7" s="7" customFormat="1" ht="30">
      <c r="A307" s="42"/>
      <c r="B307" s="50"/>
      <c r="C307" s="57" t="s">
        <v>31</v>
      </c>
      <c r="D307" s="50"/>
      <c r="E307" s="41"/>
      <c r="F307" s="51"/>
      <c r="G307" s="24"/>
    </row>
    <row r="308" spans="1:7">
      <c r="A308" s="17"/>
      <c r="B308" s="25"/>
      <c r="C308" s="8"/>
      <c r="D308" s="18"/>
      <c r="E308" s="19"/>
      <c r="F308" s="17"/>
      <c r="G308" s="20"/>
    </row>
    <row r="309" spans="1:7" s="4" customFormat="1">
      <c r="A309" s="42"/>
      <c r="B309" s="50" t="s">
        <v>18</v>
      </c>
      <c r="C309" s="58" t="s">
        <v>162</v>
      </c>
      <c r="D309" s="50" t="s">
        <v>12</v>
      </c>
      <c r="E309" s="41">
        <v>0</v>
      </c>
      <c r="F309" s="51" t="s">
        <v>13</v>
      </c>
      <c r="G309" s="24">
        <f>C309*E309</f>
        <v>0</v>
      </c>
    </row>
    <row r="310" spans="1:7">
      <c r="C310" s="58"/>
    </row>
    <row r="311" spans="1:7">
      <c r="B311" s="50" t="s">
        <v>22</v>
      </c>
      <c r="C311" s="143" t="s">
        <v>100</v>
      </c>
    </row>
    <row r="312" spans="1:7" ht="33">
      <c r="A312" s="118"/>
      <c r="B312" s="10"/>
      <c r="C312" s="144" t="s">
        <v>133</v>
      </c>
      <c r="D312" s="10"/>
      <c r="E312" s="74"/>
      <c r="F312" s="23"/>
      <c r="G312" s="26"/>
    </row>
    <row r="313" spans="1:7" ht="18">
      <c r="C313" s="143" t="s">
        <v>134</v>
      </c>
    </row>
    <row r="314" spans="1:7" ht="18">
      <c r="C314" s="143" t="s">
        <v>117</v>
      </c>
    </row>
    <row r="315" spans="1:7" s="7" customFormat="1" ht="18">
      <c r="A315" s="42"/>
      <c r="B315" s="50"/>
      <c r="C315" s="143" t="s">
        <v>118</v>
      </c>
      <c r="D315" s="50"/>
      <c r="E315" s="41"/>
      <c r="F315" s="51"/>
      <c r="G315" s="24"/>
    </row>
    <row r="316" spans="1:7" ht="18">
      <c r="C316" s="143" t="s">
        <v>135</v>
      </c>
    </row>
    <row r="317" spans="1:7" ht="30">
      <c r="C317" s="57" t="s">
        <v>31</v>
      </c>
    </row>
    <row r="318" spans="1:7">
      <c r="A318" s="17"/>
      <c r="B318" s="25"/>
      <c r="C318" s="8"/>
      <c r="D318" s="18"/>
      <c r="E318" s="19"/>
      <c r="F318" s="17"/>
      <c r="G318" s="20"/>
    </row>
    <row r="319" spans="1:7" s="4" customFormat="1">
      <c r="A319" s="42"/>
      <c r="B319" s="50" t="s">
        <v>18</v>
      </c>
      <c r="C319" s="58" t="s">
        <v>67</v>
      </c>
      <c r="D319" s="50" t="s">
        <v>12</v>
      </c>
      <c r="E319" s="41">
        <v>0</v>
      </c>
      <c r="F319" s="51" t="s">
        <v>13</v>
      </c>
      <c r="G319" s="24">
        <f>C319*E319</f>
        <v>0</v>
      </c>
    </row>
    <row r="321" spans="1:7" ht="28.5">
      <c r="A321" s="42" t="s">
        <v>14</v>
      </c>
      <c r="C321" s="303" t="s">
        <v>56</v>
      </c>
    </row>
    <row r="322" spans="1:7" ht="45">
      <c r="C322" s="284" t="s">
        <v>126</v>
      </c>
    </row>
    <row r="323" spans="1:7" ht="45">
      <c r="C323" s="47" t="s">
        <v>47</v>
      </c>
    </row>
    <row r="324" spans="1:7" ht="30">
      <c r="C324" s="47" t="s">
        <v>48</v>
      </c>
    </row>
    <row r="325" spans="1:7" s="7" customFormat="1">
      <c r="A325" s="17"/>
      <c r="B325" s="25"/>
      <c r="C325" s="8"/>
      <c r="D325" s="18"/>
      <c r="E325" s="19"/>
      <c r="F325" s="17"/>
      <c r="G325" s="20"/>
    </row>
    <row r="326" spans="1:7">
      <c r="A326" s="1"/>
      <c r="B326" s="2" t="s">
        <v>8</v>
      </c>
      <c r="C326" s="145" t="s">
        <v>7</v>
      </c>
      <c r="D326" s="10"/>
      <c r="E326" s="26"/>
      <c r="F326" s="23"/>
      <c r="G326" s="26"/>
    </row>
    <row r="327" spans="1:7" ht="30">
      <c r="A327" s="1"/>
      <c r="B327" s="10"/>
      <c r="C327" s="144" t="s">
        <v>127</v>
      </c>
      <c r="D327" s="10"/>
      <c r="E327" s="26"/>
      <c r="F327" s="23"/>
      <c r="G327" s="26"/>
    </row>
    <row r="328" spans="1:7" ht="30">
      <c r="A328" s="1"/>
      <c r="B328" s="10"/>
      <c r="C328" s="144" t="s">
        <v>95</v>
      </c>
      <c r="D328" s="10"/>
      <c r="E328" s="26"/>
      <c r="F328" s="23"/>
      <c r="G328" s="26"/>
    </row>
    <row r="329" spans="1:7">
      <c r="A329" s="1"/>
      <c r="B329" s="10"/>
      <c r="C329" s="144"/>
      <c r="D329" s="10"/>
      <c r="E329" s="26"/>
      <c r="F329" s="23"/>
      <c r="G329" s="26"/>
    </row>
    <row r="330" spans="1:7" ht="30">
      <c r="A330" s="1"/>
      <c r="B330" s="10"/>
      <c r="C330" s="144" t="s">
        <v>128</v>
      </c>
      <c r="D330" s="10"/>
      <c r="E330" s="26"/>
      <c r="F330" s="23"/>
      <c r="G330" s="26"/>
    </row>
    <row r="331" spans="1:7">
      <c r="A331" s="1"/>
      <c r="B331" s="2"/>
      <c r="C331" s="146" t="s">
        <v>115</v>
      </c>
      <c r="D331" s="2"/>
      <c r="E331" s="6"/>
      <c r="F331" s="3"/>
      <c r="G331" s="26"/>
    </row>
    <row r="332" spans="1:7" s="7" customFormat="1" ht="30">
      <c r="A332" s="1"/>
      <c r="B332" s="2"/>
      <c r="C332" s="145" t="s">
        <v>116</v>
      </c>
      <c r="D332" s="2"/>
      <c r="E332" s="6"/>
      <c r="F332" s="3"/>
      <c r="G332" s="26"/>
    </row>
    <row r="333" spans="1:7" s="4" customFormat="1">
      <c r="A333" s="1"/>
      <c r="B333" s="10"/>
      <c r="C333" s="144" t="s">
        <v>129</v>
      </c>
      <c r="D333" s="10"/>
      <c r="E333" s="26"/>
      <c r="F333" s="23"/>
      <c r="G333" s="26"/>
    </row>
    <row r="334" spans="1:7" s="4" customFormat="1">
      <c r="A334" s="1"/>
      <c r="B334" s="10"/>
      <c r="C334" s="8" t="s">
        <v>109</v>
      </c>
      <c r="D334" s="10"/>
      <c r="E334" s="26"/>
      <c r="F334" s="23"/>
      <c r="G334" s="26"/>
    </row>
    <row r="335" spans="1:7" s="4" customFormat="1">
      <c r="A335" s="17"/>
      <c r="B335" s="25"/>
      <c r="C335" s="8"/>
      <c r="D335" s="18"/>
      <c r="E335" s="19"/>
      <c r="F335" s="17"/>
      <c r="G335" s="20"/>
    </row>
    <row r="336" spans="1:7" s="4" customFormat="1">
      <c r="A336" s="42"/>
      <c r="B336" s="50" t="s">
        <v>18</v>
      </c>
      <c r="C336" s="58" t="s">
        <v>162</v>
      </c>
      <c r="D336" s="50" t="s">
        <v>12</v>
      </c>
      <c r="E336" s="41">
        <v>0</v>
      </c>
      <c r="F336" s="51" t="s">
        <v>13</v>
      </c>
      <c r="G336" s="24">
        <f>C336*E336</f>
        <v>0</v>
      </c>
    </row>
    <row r="337" spans="1:7" s="4" customFormat="1">
      <c r="A337" s="42"/>
      <c r="B337" s="50"/>
      <c r="C337" s="58"/>
      <c r="D337" s="50"/>
      <c r="E337" s="41"/>
      <c r="F337" s="51"/>
      <c r="G337" s="24"/>
    </row>
    <row r="338" spans="1:7" s="4" customFormat="1">
      <c r="A338" s="1"/>
      <c r="B338" s="2" t="s">
        <v>22</v>
      </c>
      <c r="C338" s="145" t="s">
        <v>100</v>
      </c>
      <c r="D338" s="10"/>
      <c r="E338" s="26"/>
      <c r="F338" s="23"/>
      <c r="G338" s="26"/>
    </row>
    <row r="339" spans="1:7" s="4" customFormat="1" ht="30">
      <c r="A339" s="1"/>
      <c r="B339" s="10"/>
      <c r="C339" s="144" t="s">
        <v>127</v>
      </c>
      <c r="D339" s="10"/>
      <c r="E339" s="26"/>
      <c r="F339" s="23"/>
      <c r="G339" s="26"/>
    </row>
    <row r="340" spans="1:7" s="4" customFormat="1" ht="30">
      <c r="A340" s="1"/>
      <c r="B340" s="10"/>
      <c r="C340" s="144" t="s">
        <v>95</v>
      </c>
      <c r="D340" s="10"/>
      <c r="E340" s="26"/>
      <c r="F340" s="23"/>
      <c r="G340" s="26"/>
    </row>
    <row r="341" spans="1:7" s="4" customFormat="1" ht="30">
      <c r="A341" s="1"/>
      <c r="B341" s="10"/>
      <c r="C341" s="144" t="s">
        <v>128</v>
      </c>
      <c r="D341" s="10"/>
      <c r="E341" s="26"/>
      <c r="F341" s="23"/>
      <c r="G341" s="26"/>
    </row>
    <row r="342" spans="1:7" s="7" customFormat="1">
      <c r="A342" s="1"/>
      <c r="B342" s="2"/>
      <c r="C342" s="146" t="s">
        <v>115</v>
      </c>
      <c r="D342" s="2"/>
      <c r="E342" s="6"/>
      <c r="F342" s="3"/>
      <c r="G342" s="26"/>
    </row>
    <row r="343" spans="1:7" ht="30">
      <c r="A343" s="1"/>
      <c r="B343" s="2"/>
      <c r="C343" s="145" t="s">
        <v>116</v>
      </c>
      <c r="D343" s="2"/>
      <c r="E343" s="6"/>
      <c r="F343" s="3"/>
      <c r="G343" s="26"/>
    </row>
    <row r="344" spans="1:7">
      <c r="A344" s="1"/>
      <c r="B344" s="10"/>
      <c r="C344" s="144" t="s">
        <v>129</v>
      </c>
      <c r="D344" s="10"/>
      <c r="E344" s="26"/>
      <c r="F344" s="23"/>
      <c r="G344" s="26"/>
    </row>
    <row r="345" spans="1:7" s="4" customFormat="1">
      <c r="A345" s="1"/>
      <c r="B345" s="10"/>
      <c r="C345" s="8" t="s">
        <v>109</v>
      </c>
      <c r="D345" s="10"/>
      <c r="E345" s="26"/>
      <c r="F345" s="23"/>
      <c r="G345" s="26"/>
    </row>
    <row r="346" spans="1:7" s="4" customFormat="1">
      <c r="A346" s="17"/>
      <c r="B346" s="25"/>
      <c r="C346" s="8"/>
      <c r="D346" s="18"/>
      <c r="E346" s="19"/>
      <c r="F346" s="17"/>
      <c r="G346" s="20"/>
    </row>
    <row r="347" spans="1:7" s="4" customFormat="1">
      <c r="A347" s="42"/>
      <c r="B347" s="50" t="s">
        <v>18</v>
      </c>
      <c r="C347" s="58" t="s">
        <v>67</v>
      </c>
      <c r="D347" s="50" t="s">
        <v>12</v>
      </c>
      <c r="E347" s="41">
        <v>0</v>
      </c>
      <c r="F347" s="51" t="s">
        <v>13</v>
      </c>
      <c r="G347" s="24">
        <f>C347*E347</f>
        <v>0</v>
      </c>
    </row>
    <row r="348" spans="1:7" s="4" customFormat="1">
      <c r="A348" s="162"/>
      <c r="B348" s="64"/>
      <c r="C348" s="65"/>
      <c r="D348" s="64"/>
      <c r="E348" s="66"/>
      <c r="F348" s="67"/>
      <c r="G348" s="68"/>
    </row>
    <row r="349" spans="1:7" s="4" customFormat="1">
      <c r="A349" s="42"/>
      <c r="B349" s="50"/>
      <c r="C349" s="57"/>
      <c r="D349" s="50"/>
      <c r="E349" s="41"/>
      <c r="F349" s="51"/>
      <c r="G349" s="24"/>
    </row>
    <row r="350" spans="1:7" s="4" customFormat="1" ht="47.25">
      <c r="A350" s="33" t="s">
        <v>32</v>
      </c>
      <c r="B350" s="35"/>
      <c r="C350" s="302" t="s">
        <v>45</v>
      </c>
      <c r="D350" s="147"/>
      <c r="E350" s="36"/>
      <c r="F350" s="37" t="s">
        <v>13</v>
      </c>
      <c r="G350" s="38">
        <f>SUM(G307:G348)</f>
        <v>0</v>
      </c>
    </row>
    <row r="351" spans="1:7" s="4" customFormat="1">
      <c r="A351" s="63"/>
      <c r="B351" s="148"/>
      <c r="C351" s="149"/>
      <c r="D351" s="148"/>
      <c r="E351" s="150"/>
      <c r="F351" s="151"/>
      <c r="G351" s="152"/>
    </row>
    <row r="352" spans="1:7" s="4" customFormat="1">
      <c r="A352" s="55"/>
      <c r="B352" s="56"/>
      <c r="C352" s="59"/>
      <c r="D352" s="56"/>
      <c r="E352" s="41"/>
      <c r="F352" s="60"/>
      <c r="G352" s="24"/>
    </row>
    <row r="353" spans="1:7" s="7" customFormat="1">
      <c r="A353" s="77" t="s">
        <v>3</v>
      </c>
      <c r="B353" s="61"/>
      <c r="C353" s="78" t="s">
        <v>33</v>
      </c>
      <c r="D353" s="61"/>
      <c r="E353" s="36"/>
      <c r="F353" s="62"/>
      <c r="G353" s="38"/>
    </row>
    <row r="354" spans="1:7">
      <c r="A354" s="77"/>
      <c r="B354" s="61"/>
      <c r="C354" s="78"/>
      <c r="D354" s="61"/>
      <c r="E354" s="36"/>
      <c r="F354" s="62"/>
      <c r="G354" s="38"/>
    </row>
    <row r="355" spans="1:7" ht="255">
      <c r="A355" s="28" t="s">
        <v>10</v>
      </c>
      <c r="B355" s="29"/>
      <c r="C355" s="30" t="s">
        <v>141</v>
      </c>
      <c r="D355" s="18"/>
      <c r="E355" s="31"/>
      <c r="F355" s="17"/>
      <c r="G355" s="32"/>
    </row>
    <row r="356" spans="1:7">
      <c r="A356" s="28"/>
      <c r="B356" s="29"/>
      <c r="C356" s="8" t="s">
        <v>34</v>
      </c>
      <c r="D356" s="18"/>
      <c r="E356" s="31"/>
      <c r="F356" s="17"/>
      <c r="G356" s="32"/>
    </row>
    <row r="357" spans="1:7">
      <c r="A357" s="17"/>
      <c r="B357" s="25"/>
      <c r="C357" s="8"/>
      <c r="D357" s="18"/>
      <c r="E357" s="19"/>
      <c r="F357" s="17"/>
      <c r="G357" s="20"/>
    </row>
    <row r="358" spans="1:7">
      <c r="A358" s="28"/>
      <c r="B358" s="23" t="s">
        <v>15</v>
      </c>
      <c r="C358" s="163">
        <v>1</v>
      </c>
      <c r="D358" s="10" t="s">
        <v>12</v>
      </c>
      <c r="E358" s="41">
        <v>0</v>
      </c>
      <c r="F358" s="23" t="s">
        <v>13</v>
      </c>
      <c r="G358" s="26">
        <f>C358*E358</f>
        <v>0</v>
      </c>
    </row>
    <row r="360" spans="1:7" s="39" customFormat="1" ht="210">
      <c r="A360" s="28" t="s">
        <v>14</v>
      </c>
      <c r="B360" s="29"/>
      <c r="C360" s="30" t="s">
        <v>142</v>
      </c>
      <c r="D360" s="18"/>
      <c r="E360" s="31"/>
      <c r="F360" s="17"/>
      <c r="G360" s="32"/>
    </row>
    <row r="361" spans="1:7" s="39" customFormat="1">
      <c r="A361" s="28"/>
      <c r="B361" s="29"/>
      <c r="C361" s="8" t="s">
        <v>34</v>
      </c>
      <c r="D361" s="18"/>
      <c r="E361" s="31"/>
      <c r="F361" s="17"/>
      <c r="G361" s="32"/>
    </row>
    <row r="362" spans="1:7" s="7" customFormat="1">
      <c r="A362" s="17"/>
      <c r="B362" s="25"/>
      <c r="C362" s="8"/>
      <c r="D362" s="18"/>
      <c r="E362" s="19"/>
      <c r="F362" s="17"/>
      <c r="G362" s="20"/>
    </row>
    <row r="363" spans="1:7" s="7" customFormat="1">
      <c r="A363" s="28"/>
      <c r="B363" s="23" t="s">
        <v>15</v>
      </c>
      <c r="C363" s="40">
        <v>1</v>
      </c>
      <c r="D363" s="10" t="s">
        <v>12</v>
      </c>
      <c r="E363" s="41">
        <v>0</v>
      </c>
      <c r="F363" s="23" t="s">
        <v>13</v>
      </c>
      <c r="G363" s="26">
        <f>C363*E363</f>
        <v>0</v>
      </c>
    </row>
    <row r="364" spans="1:7" s="7" customFormat="1">
      <c r="A364" s="42"/>
      <c r="B364" s="50"/>
      <c r="C364" s="57"/>
      <c r="D364" s="50"/>
      <c r="E364" s="41"/>
      <c r="F364" s="51"/>
      <c r="G364" s="24"/>
    </row>
    <row r="365" spans="1:7" s="4" customFormat="1" ht="165">
      <c r="A365" s="42" t="s">
        <v>16</v>
      </c>
      <c r="B365" s="43"/>
      <c r="C365" s="47" t="s">
        <v>57</v>
      </c>
      <c r="D365" s="43"/>
      <c r="E365" s="19"/>
      <c r="F365" s="42"/>
      <c r="G365" s="20"/>
    </row>
    <row r="366" spans="1:7" ht="45">
      <c r="B366" s="43"/>
      <c r="C366" s="47" t="s">
        <v>24</v>
      </c>
      <c r="D366" s="43"/>
      <c r="E366" s="19"/>
      <c r="F366" s="42"/>
      <c r="G366" s="20"/>
    </row>
    <row r="367" spans="1:7" s="7" customFormat="1">
      <c r="A367" s="42"/>
      <c r="B367" s="43"/>
      <c r="C367" s="47" t="s">
        <v>34</v>
      </c>
      <c r="D367" s="43"/>
      <c r="E367" s="19"/>
      <c r="F367" s="42"/>
      <c r="G367" s="20"/>
    </row>
    <row r="368" spans="1:7" s="7" customFormat="1">
      <c r="A368" s="17"/>
      <c r="B368" s="25"/>
      <c r="C368" s="8"/>
      <c r="D368" s="18"/>
      <c r="E368" s="19"/>
      <c r="F368" s="17"/>
      <c r="G368" s="20"/>
    </row>
    <row r="369" spans="1:7" s="7" customFormat="1">
      <c r="A369" s="42"/>
      <c r="B369" s="51" t="s">
        <v>15</v>
      </c>
      <c r="C369" s="40">
        <v>3</v>
      </c>
      <c r="D369" s="50" t="s">
        <v>12</v>
      </c>
      <c r="E369" s="41">
        <v>0</v>
      </c>
      <c r="F369" s="51" t="s">
        <v>13</v>
      </c>
      <c r="G369" s="24">
        <f>C369*E369</f>
        <v>0</v>
      </c>
    </row>
    <row r="370" spans="1:7" s="4" customFormat="1">
      <c r="A370" s="164"/>
      <c r="B370" s="165"/>
      <c r="C370" s="160"/>
      <c r="D370" s="165"/>
      <c r="E370" s="166"/>
      <c r="F370" s="167"/>
      <c r="G370" s="168"/>
    </row>
    <row r="371" spans="1:7" ht="45">
      <c r="A371" s="42" t="s">
        <v>17</v>
      </c>
      <c r="B371" s="43"/>
      <c r="C371" s="47" t="s">
        <v>35</v>
      </c>
      <c r="D371" s="43"/>
      <c r="E371" s="19"/>
      <c r="F371" s="42"/>
      <c r="G371" s="20"/>
    </row>
    <row r="372" spans="1:7" s="44" customFormat="1" ht="45">
      <c r="A372" s="42"/>
      <c r="B372" s="43"/>
      <c r="C372" s="47" t="s">
        <v>36</v>
      </c>
      <c r="D372" s="43"/>
      <c r="E372" s="19"/>
      <c r="F372" s="42"/>
      <c r="G372" s="20"/>
    </row>
    <row r="373" spans="1:7" s="44" customFormat="1">
      <c r="A373" s="42"/>
      <c r="B373" s="43"/>
      <c r="C373" s="47" t="s">
        <v>37</v>
      </c>
      <c r="D373" s="43"/>
      <c r="E373" s="19"/>
      <c r="F373" s="42"/>
      <c r="G373" s="20"/>
    </row>
    <row r="374" spans="1:7" s="44" customFormat="1">
      <c r="A374" s="17"/>
      <c r="B374" s="25"/>
      <c r="C374" s="8"/>
      <c r="D374" s="18"/>
      <c r="E374" s="19"/>
      <c r="F374" s="17"/>
      <c r="G374" s="20"/>
    </row>
    <row r="375" spans="1:7" s="7" customFormat="1">
      <c r="A375" s="46"/>
      <c r="B375" s="57" t="s">
        <v>11</v>
      </c>
      <c r="C375" s="54">
        <v>2516</v>
      </c>
      <c r="D375" s="50" t="s">
        <v>12</v>
      </c>
      <c r="E375" s="241"/>
      <c r="F375" s="128" t="s">
        <v>13</v>
      </c>
      <c r="G375" s="242">
        <f>C375*E375</f>
        <v>0</v>
      </c>
    </row>
    <row r="377" spans="1:7" s="169" customFormat="1" ht="75">
      <c r="A377" s="42" t="s">
        <v>19</v>
      </c>
      <c r="B377" s="43"/>
      <c r="C377" s="153" t="s">
        <v>54</v>
      </c>
      <c r="D377" s="43"/>
      <c r="E377" s="19"/>
      <c r="F377" s="42"/>
      <c r="G377" s="20"/>
    </row>
    <row r="378" spans="1:7" s="44" customFormat="1" ht="90">
      <c r="A378" s="42"/>
      <c r="B378" s="43"/>
      <c r="C378" s="153" t="s">
        <v>52</v>
      </c>
      <c r="D378" s="43"/>
      <c r="E378" s="19"/>
      <c r="F378" s="42"/>
      <c r="G378" s="20"/>
    </row>
    <row r="379" spans="1:7" s="44" customFormat="1" ht="45">
      <c r="A379" s="42"/>
      <c r="B379" s="43"/>
      <c r="C379" s="47" t="s">
        <v>50</v>
      </c>
      <c r="D379" s="43"/>
      <c r="E379" s="19"/>
      <c r="F379" s="42"/>
      <c r="G379" s="20"/>
    </row>
    <row r="380" spans="1:7" s="44" customFormat="1" ht="30">
      <c r="A380" s="42"/>
      <c r="B380" s="43"/>
      <c r="C380" s="57" t="s">
        <v>51</v>
      </c>
      <c r="D380" s="43"/>
      <c r="E380" s="19"/>
      <c r="F380" s="42"/>
      <c r="G380" s="20"/>
    </row>
    <row r="381" spans="1:7" s="7" customFormat="1">
      <c r="A381" s="42"/>
      <c r="B381" s="43"/>
      <c r="C381" s="47" t="s">
        <v>53</v>
      </c>
      <c r="D381" s="43"/>
      <c r="E381" s="19"/>
      <c r="F381" s="42"/>
      <c r="G381" s="20"/>
    </row>
    <row r="382" spans="1:7" s="44" customFormat="1">
      <c r="A382" s="17"/>
      <c r="B382" s="25"/>
      <c r="C382" s="8"/>
      <c r="D382" s="18"/>
      <c r="E382" s="19"/>
      <c r="F382" s="17"/>
      <c r="G382" s="20"/>
    </row>
    <row r="383" spans="1:7">
      <c r="A383" s="46"/>
      <c r="B383" s="57" t="s">
        <v>11</v>
      </c>
      <c r="C383" s="54">
        <v>2516</v>
      </c>
      <c r="D383" s="50" t="s">
        <v>12</v>
      </c>
      <c r="E383" s="241"/>
      <c r="F383" s="128" t="s">
        <v>13</v>
      </c>
      <c r="G383" s="242">
        <f>C383*E383</f>
        <v>0</v>
      </c>
    </row>
    <row r="384" spans="1:7" s="44" customFormat="1">
      <c r="A384" s="42"/>
      <c r="B384" s="50"/>
      <c r="C384" s="57"/>
      <c r="D384" s="50"/>
      <c r="E384" s="41"/>
      <c r="F384" s="51"/>
      <c r="G384" s="24"/>
    </row>
    <row r="385" spans="1:8" s="44" customFormat="1" ht="90">
      <c r="A385" s="42" t="s">
        <v>20</v>
      </c>
      <c r="B385" s="298"/>
      <c r="C385" s="154" t="s">
        <v>91</v>
      </c>
      <c r="D385" s="10"/>
      <c r="E385" s="272"/>
      <c r="F385" s="40"/>
      <c r="G385" s="272"/>
    </row>
    <row r="386" spans="1:8" s="44" customFormat="1">
      <c r="A386" s="17"/>
      <c r="B386" s="25"/>
      <c r="C386" s="8"/>
      <c r="D386" s="18"/>
      <c r="E386" s="19"/>
      <c r="F386" s="17"/>
      <c r="G386" s="20"/>
    </row>
    <row r="387" spans="1:8" s="44" customFormat="1">
      <c r="A387" s="17"/>
      <c r="B387" s="23" t="s">
        <v>15</v>
      </c>
      <c r="C387" s="40">
        <v>1</v>
      </c>
      <c r="D387" s="10" t="s">
        <v>12</v>
      </c>
      <c r="E387" s="71">
        <v>0</v>
      </c>
      <c r="F387" s="23" t="s">
        <v>13</v>
      </c>
      <c r="G387" s="71">
        <f>C387*E387</f>
        <v>0</v>
      </c>
    </row>
    <row r="388" spans="1:8" s="44" customFormat="1">
      <c r="A388" s="17"/>
      <c r="B388" s="23"/>
      <c r="C388" s="240"/>
      <c r="D388" s="10"/>
      <c r="E388" s="71"/>
      <c r="F388" s="23"/>
      <c r="G388" s="71"/>
    </row>
    <row r="389" spans="1:8" s="7" customFormat="1" ht="90">
      <c r="A389" s="42" t="s">
        <v>21</v>
      </c>
      <c r="B389" s="4"/>
      <c r="C389" s="304" t="s">
        <v>92</v>
      </c>
      <c r="D389" s="4"/>
      <c r="E389" s="272"/>
      <c r="F389" s="23"/>
      <c r="G389" s="272"/>
    </row>
    <row r="390" spans="1:8" s="44" customFormat="1" ht="15.75">
      <c r="A390" s="305"/>
      <c r="B390" s="40"/>
      <c r="C390" s="298" t="s">
        <v>93</v>
      </c>
      <c r="D390" s="4"/>
      <c r="E390" s="306"/>
      <c r="F390" s="40"/>
      <c r="G390" s="272"/>
    </row>
    <row r="391" spans="1:8">
      <c r="A391" s="17"/>
      <c r="B391" s="25"/>
      <c r="C391" s="8"/>
      <c r="D391" s="18"/>
      <c r="E391" s="19"/>
      <c r="F391" s="17"/>
      <c r="G391" s="20"/>
    </row>
    <row r="392" spans="1:8" s="7" customFormat="1" ht="15.75">
      <c r="A392" s="307"/>
      <c r="B392" s="76" t="s">
        <v>11</v>
      </c>
      <c r="C392" s="54">
        <v>1574</v>
      </c>
      <c r="D392" s="11" t="s">
        <v>12</v>
      </c>
      <c r="E392" s="306"/>
      <c r="F392" s="308" t="s">
        <v>13</v>
      </c>
      <c r="G392" s="309">
        <f>C392*E392</f>
        <v>0</v>
      </c>
    </row>
    <row r="393" spans="1:8" s="7" customFormat="1" ht="15.75">
      <c r="A393" s="307"/>
      <c r="B393" s="76"/>
      <c r="C393" s="54"/>
      <c r="D393" s="11"/>
      <c r="E393" s="306"/>
      <c r="F393" s="308"/>
      <c r="G393" s="309"/>
    </row>
    <row r="394" spans="1:8" s="4" customFormat="1">
      <c r="A394" s="63"/>
      <c r="B394" s="148"/>
      <c r="C394" s="149"/>
      <c r="D394" s="148"/>
      <c r="E394" s="150"/>
      <c r="F394" s="151"/>
      <c r="G394" s="152"/>
    </row>
    <row r="395" spans="1:8" s="4" customFormat="1">
      <c r="A395" s="42"/>
      <c r="B395" s="50"/>
      <c r="C395" s="57"/>
      <c r="D395" s="50"/>
      <c r="E395" s="41"/>
      <c r="F395" s="51"/>
      <c r="G395" s="24"/>
    </row>
    <row r="396" spans="1:8" s="298" customFormat="1">
      <c r="A396" s="33" t="s">
        <v>3</v>
      </c>
      <c r="B396" s="35"/>
      <c r="C396" s="34" t="s">
        <v>38</v>
      </c>
      <c r="D396" s="147"/>
      <c r="E396" s="36"/>
      <c r="F396" s="37" t="s">
        <v>13</v>
      </c>
      <c r="G396" s="38">
        <f>SUM(G358:G392)</f>
        <v>0</v>
      </c>
    </row>
    <row r="397" spans="1:8" s="269" customFormat="1">
      <c r="A397" s="63"/>
      <c r="B397" s="148"/>
      <c r="C397" s="149"/>
      <c r="D397" s="148"/>
      <c r="E397" s="150"/>
      <c r="F397" s="151"/>
      <c r="G397" s="152"/>
      <c r="H397" s="4"/>
    </row>
    <row r="398" spans="1:8" s="7" customFormat="1">
      <c r="A398" s="55"/>
      <c r="B398" s="56"/>
      <c r="C398" s="59"/>
      <c r="D398" s="56"/>
      <c r="E398" s="41"/>
      <c r="F398" s="60"/>
      <c r="G398" s="24"/>
    </row>
    <row r="399" spans="1:8" s="15" customFormat="1" ht="15.75">
      <c r="A399" s="55"/>
      <c r="B399" s="56"/>
      <c r="C399" s="59"/>
      <c r="D399" s="56"/>
      <c r="E399" s="41"/>
      <c r="F399" s="60"/>
      <c r="G399" s="24"/>
    </row>
    <row r="400" spans="1:8" s="15" customFormat="1" ht="18.75">
      <c r="A400" s="42"/>
      <c r="B400" s="50"/>
      <c r="C400" s="155" t="s">
        <v>49</v>
      </c>
      <c r="D400" s="50"/>
      <c r="E400" s="41"/>
      <c r="F400" s="51"/>
      <c r="G400" s="24"/>
    </row>
    <row r="401" spans="1:7" ht="15.75">
      <c r="C401" s="156"/>
    </row>
    <row r="402" spans="1:7">
      <c r="C402" s="157"/>
    </row>
    <row r="404" spans="1:7">
      <c r="A404" s="33"/>
      <c r="B404" s="34" t="s">
        <v>8</v>
      </c>
      <c r="C404" s="39" t="s">
        <v>9</v>
      </c>
      <c r="D404" s="34"/>
      <c r="E404" s="36"/>
      <c r="F404" s="37" t="s">
        <v>13</v>
      </c>
      <c r="G404" s="38" t="e">
        <f>#REF!</f>
        <v>#REF!</v>
      </c>
    </row>
    <row r="405" spans="1:7">
      <c r="A405" s="33"/>
      <c r="B405" s="34"/>
      <c r="C405" s="39"/>
      <c r="D405" s="34"/>
      <c r="E405" s="36"/>
      <c r="F405" s="37"/>
      <c r="G405" s="38"/>
    </row>
    <row r="406" spans="1:7">
      <c r="A406" s="33"/>
      <c r="B406" s="34"/>
      <c r="C406" s="39"/>
      <c r="D406" s="34"/>
      <c r="E406" s="36"/>
      <c r="F406" s="37"/>
      <c r="G406" s="38"/>
    </row>
    <row r="407" spans="1:7">
      <c r="A407" s="33"/>
      <c r="B407" s="34" t="s">
        <v>22</v>
      </c>
      <c r="C407" s="39" t="s">
        <v>23</v>
      </c>
      <c r="D407" s="34"/>
      <c r="E407" s="36"/>
      <c r="F407" s="37" t="s">
        <v>13</v>
      </c>
      <c r="G407" s="38" t="e">
        <f>#REF!</f>
        <v>#REF!</v>
      </c>
    </row>
    <row r="408" spans="1:7">
      <c r="A408" s="33"/>
      <c r="B408" s="34"/>
      <c r="C408" s="39"/>
      <c r="D408" s="34"/>
      <c r="E408" s="36"/>
      <c r="F408" s="37"/>
      <c r="G408" s="38"/>
    </row>
    <row r="409" spans="1:7">
      <c r="A409" s="33"/>
      <c r="B409" s="34"/>
      <c r="C409" s="39"/>
      <c r="D409" s="34"/>
      <c r="E409" s="36"/>
      <c r="F409" s="37"/>
      <c r="G409" s="38"/>
    </row>
    <row r="410" spans="1:7">
      <c r="A410" s="33"/>
      <c r="B410" s="34" t="s">
        <v>26</v>
      </c>
      <c r="C410" s="158" t="s">
        <v>39</v>
      </c>
      <c r="D410" s="34"/>
      <c r="E410" s="36"/>
      <c r="F410" s="37" t="s">
        <v>13</v>
      </c>
      <c r="G410" s="38" t="e">
        <f>#REF!</f>
        <v>#REF!</v>
      </c>
    </row>
    <row r="411" spans="1:7" s="39" customFormat="1" ht="14.25">
      <c r="A411" s="33"/>
      <c r="B411" s="34"/>
      <c r="C411" s="158"/>
      <c r="D411" s="34"/>
      <c r="E411" s="36"/>
      <c r="F411" s="37"/>
      <c r="G411" s="38"/>
    </row>
    <row r="412" spans="1:7" s="39" customFormat="1" ht="14.25">
      <c r="A412" s="33"/>
      <c r="B412" s="34"/>
      <c r="C412" s="158"/>
      <c r="D412" s="34"/>
      <c r="E412" s="36"/>
      <c r="F412" s="37"/>
      <c r="G412" s="38"/>
    </row>
    <row r="413" spans="1:7" s="39" customFormat="1" ht="14.25">
      <c r="A413" s="33"/>
      <c r="B413" s="34" t="s">
        <v>27</v>
      </c>
      <c r="C413" s="39" t="s">
        <v>2</v>
      </c>
      <c r="D413" s="34"/>
      <c r="E413" s="36"/>
      <c r="F413" s="37" t="s">
        <v>13</v>
      </c>
      <c r="G413" s="38" t="e">
        <f>#REF!</f>
        <v>#REF!</v>
      </c>
    </row>
    <row r="414" spans="1:7" s="39" customFormat="1" ht="14.25">
      <c r="A414" s="33"/>
      <c r="B414" s="34"/>
      <c r="D414" s="34"/>
      <c r="E414" s="36"/>
      <c r="F414" s="37"/>
      <c r="G414" s="38"/>
    </row>
    <row r="415" spans="1:7" s="39" customFormat="1" ht="14.25">
      <c r="A415" s="33"/>
      <c r="B415" s="34"/>
      <c r="D415" s="34"/>
      <c r="E415" s="36"/>
      <c r="F415" s="37"/>
      <c r="G415" s="38"/>
    </row>
    <row r="416" spans="1:7" s="39" customFormat="1" ht="14.25">
      <c r="A416" s="33"/>
      <c r="B416" s="34" t="s">
        <v>28</v>
      </c>
      <c r="C416" s="39" t="s">
        <v>29</v>
      </c>
      <c r="D416" s="34"/>
      <c r="E416" s="36"/>
      <c r="F416" s="37"/>
      <c r="G416" s="38"/>
    </row>
    <row r="417" spans="1:7" s="39" customFormat="1" ht="28.5">
      <c r="A417" s="33"/>
      <c r="B417" s="310" t="s">
        <v>80</v>
      </c>
      <c r="C417" s="39" t="s">
        <v>81</v>
      </c>
      <c r="D417" s="34"/>
      <c r="E417" s="36"/>
      <c r="F417" s="37" t="s">
        <v>13</v>
      </c>
      <c r="G417" s="38">
        <f>G209</f>
        <v>0</v>
      </c>
    </row>
    <row r="418" spans="1:7" s="39" customFormat="1" ht="15.75">
      <c r="A418" s="33"/>
      <c r="B418" s="310" t="s">
        <v>82</v>
      </c>
      <c r="C418" s="39" t="s">
        <v>83</v>
      </c>
      <c r="D418" s="34"/>
      <c r="E418" s="36"/>
      <c r="F418" s="37" t="s">
        <v>13</v>
      </c>
      <c r="G418" s="38">
        <f>G291</f>
        <v>0</v>
      </c>
    </row>
    <row r="419" spans="1:7" s="39" customFormat="1" ht="14.25">
      <c r="A419" s="33"/>
      <c r="B419" s="34"/>
      <c r="D419" s="34"/>
      <c r="E419" s="36"/>
      <c r="F419" s="37"/>
      <c r="G419" s="38"/>
    </row>
    <row r="420" spans="1:7" s="39" customFormat="1" ht="47.25">
      <c r="A420" s="33"/>
      <c r="B420" s="310" t="s">
        <v>32</v>
      </c>
      <c r="C420" s="302" t="s">
        <v>41</v>
      </c>
      <c r="D420" s="34"/>
      <c r="E420" s="36"/>
      <c r="F420" s="37" t="s">
        <v>13</v>
      </c>
      <c r="G420" s="38">
        <f>G350</f>
        <v>0</v>
      </c>
    </row>
    <row r="421" spans="1:7" s="39" customFormat="1" ht="14.25">
      <c r="A421" s="33"/>
      <c r="B421" s="34"/>
      <c r="D421" s="34"/>
      <c r="E421" s="36"/>
      <c r="F421" s="37"/>
      <c r="G421" s="38"/>
    </row>
    <row r="422" spans="1:7" s="39" customFormat="1" ht="14.25">
      <c r="A422" s="33"/>
      <c r="B422" s="34"/>
      <c r="D422" s="34"/>
      <c r="E422" s="36"/>
      <c r="F422" s="37"/>
      <c r="G422" s="38"/>
    </row>
    <row r="423" spans="1:7" s="39" customFormat="1" ht="14.25">
      <c r="A423" s="33"/>
      <c r="B423" s="34" t="s">
        <v>3</v>
      </c>
      <c r="C423" s="39" t="s">
        <v>33</v>
      </c>
      <c r="D423" s="34"/>
      <c r="E423" s="36"/>
      <c r="F423" s="37" t="s">
        <v>13</v>
      </c>
      <c r="G423" s="38">
        <f>G396</f>
        <v>0</v>
      </c>
    </row>
    <row r="424" spans="1:7" s="39" customFormat="1" ht="14.25">
      <c r="A424" s="33"/>
      <c r="B424" s="34"/>
      <c r="D424" s="34"/>
      <c r="E424" s="36"/>
      <c r="F424" s="37"/>
      <c r="G424" s="38"/>
    </row>
    <row r="425" spans="1:7" s="39" customFormat="1" ht="14.25">
      <c r="A425" s="33"/>
      <c r="B425" s="34"/>
      <c r="D425" s="34"/>
      <c r="E425" s="36"/>
      <c r="F425" s="37"/>
      <c r="G425" s="38"/>
    </row>
    <row r="426" spans="1:7" s="39" customFormat="1">
      <c r="A426" s="63"/>
      <c r="B426" s="148"/>
      <c r="C426" s="159"/>
      <c r="D426" s="148"/>
      <c r="E426" s="150"/>
      <c r="F426" s="151"/>
      <c r="G426" s="152"/>
    </row>
    <row r="427" spans="1:7" s="39" customFormat="1">
      <c r="A427" s="42"/>
      <c r="B427" s="50"/>
      <c r="C427" s="52"/>
      <c r="D427" s="50"/>
      <c r="E427" s="41"/>
      <c r="F427" s="51"/>
      <c r="G427" s="24"/>
    </row>
    <row r="428" spans="1:7" s="39" customFormat="1" ht="14.25">
      <c r="A428" s="33"/>
      <c r="B428" s="34"/>
      <c r="C428" s="39" t="s">
        <v>40</v>
      </c>
      <c r="D428" s="34"/>
      <c r="E428" s="36"/>
      <c r="F428" s="37" t="s">
        <v>13</v>
      </c>
      <c r="G428" s="38" t="e">
        <f>SUM(G404:G423)</f>
        <v>#REF!</v>
      </c>
    </row>
    <row r="429" spans="1:7" s="39" customFormat="1">
      <c r="A429" s="63"/>
      <c r="B429" s="148"/>
      <c r="C429" s="149"/>
      <c r="D429" s="148"/>
      <c r="E429" s="150"/>
      <c r="F429" s="151"/>
      <c r="G429" s="152"/>
    </row>
    <row r="430" spans="1:7" s="39" customFormat="1">
      <c r="A430" s="42"/>
      <c r="B430" s="50"/>
      <c r="C430" s="57"/>
      <c r="D430" s="50"/>
      <c r="E430" s="41"/>
      <c r="F430" s="51"/>
      <c r="G430" s="24"/>
    </row>
    <row r="431" spans="1:7" s="39" customFormat="1">
      <c r="A431" s="42"/>
      <c r="B431" s="50"/>
      <c r="C431" s="57"/>
      <c r="D431" s="50"/>
      <c r="E431" s="41"/>
      <c r="F431" s="51"/>
      <c r="G431" s="24"/>
    </row>
    <row r="432" spans="1:7" s="39" customFormat="1">
      <c r="A432" s="42"/>
      <c r="B432" s="50"/>
      <c r="C432" s="57"/>
      <c r="D432" s="50"/>
      <c r="E432" s="41"/>
      <c r="F432" s="51"/>
      <c r="G432" s="2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72"/>
  <sheetViews>
    <sheetView topLeftCell="A7" workbookViewId="0">
      <selection activeCell="I26" sqref="I26"/>
    </sheetView>
  </sheetViews>
  <sheetFormatPr defaultRowHeight="15"/>
  <cols>
    <col min="1" max="2" width="9.140625" style="331"/>
    <col min="3" max="3" width="39.140625" style="331" customWidth="1"/>
    <col min="4" max="16384" width="9.140625" style="331"/>
  </cols>
  <sheetData>
    <row r="1" spans="1:7" ht="150">
      <c r="A1" s="332" t="s">
        <v>58</v>
      </c>
      <c r="B1" s="171"/>
      <c r="C1" s="172" t="s">
        <v>254</v>
      </c>
      <c r="D1" s="364"/>
      <c r="E1" s="365"/>
      <c r="F1" s="366"/>
      <c r="G1" s="367"/>
    </row>
    <row r="2" spans="1:7" ht="45">
      <c r="A2" s="368"/>
      <c r="B2" s="171"/>
      <c r="C2" s="173" t="s">
        <v>171</v>
      </c>
      <c r="D2" s="364"/>
      <c r="E2" s="365"/>
      <c r="F2" s="366"/>
      <c r="G2" s="367"/>
    </row>
    <row r="3" spans="1:7" ht="18">
      <c r="A3" s="368"/>
      <c r="B3" s="171"/>
      <c r="C3" s="174" t="s">
        <v>172</v>
      </c>
      <c r="D3" s="364"/>
      <c r="E3" s="365"/>
      <c r="F3" s="366"/>
      <c r="G3" s="367"/>
    </row>
    <row r="4" spans="1:7">
      <c r="A4" s="368"/>
      <c r="B4" s="171"/>
      <c r="C4" s="175" t="s">
        <v>173</v>
      </c>
      <c r="D4" s="364"/>
      <c r="E4" s="365"/>
      <c r="F4" s="366"/>
      <c r="G4" s="367"/>
    </row>
    <row r="5" spans="1:7">
      <c r="A5" s="368"/>
      <c r="B5" s="171"/>
      <c r="C5" s="369"/>
      <c r="D5" s="364"/>
      <c r="E5" s="365"/>
      <c r="F5" s="366"/>
      <c r="G5" s="367"/>
    </row>
    <row r="6" spans="1:7">
      <c r="A6" s="368"/>
      <c r="B6" s="171"/>
      <c r="C6" s="174" t="s">
        <v>151</v>
      </c>
      <c r="D6" s="364"/>
      <c r="E6" s="365"/>
      <c r="F6" s="366"/>
      <c r="G6" s="367"/>
    </row>
    <row r="7" spans="1:7" ht="18">
      <c r="A7" s="368"/>
      <c r="B7" s="171"/>
      <c r="C7" s="369" t="s">
        <v>255</v>
      </c>
      <c r="D7" s="364"/>
      <c r="E7" s="365"/>
      <c r="F7" s="366"/>
      <c r="G7" s="367"/>
    </row>
    <row r="8" spans="1:7">
      <c r="A8" s="368"/>
      <c r="B8" s="171"/>
      <c r="C8" s="369"/>
      <c r="D8" s="364"/>
      <c r="E8" s="365"/>
      <c r="F8" s="366"/>
      <c r="G8" s="367"/>
    </row>
    <row r="9" spans="1:7" s="578" customFormat="1">
      <c r="A9" s="571"/>
      <c r="B9" s="572"/>
      <c r="C9" s="573" t="s">
        <v>174</v>
      </c>
      <c r="D9" s="574"/>
      <c r="E9" s="575"/>
      <c r="F9" s="576"/>
      <c r="G9" s="577"/>
    </row>
    <row r="10" spans="1:7" s="578" customFormat="1" ht="18">
      <c r="A10" s="571"/>
      <c r="B10" s="579" t="s">
        <v>175</v>
      </c>
      <c r="C10" s="580">
        <v>360</v>
      </c>
      <c r="D10" s="579" t="s">
        <v>12</v>
      </c>
      <c r="E10" s="581"/>
      <c r="F10" s="582" t="s">
        <v>13</v>
      </c>
      <c r="G10" s="583">
        <f>C10*E10</f>
        <v>0</v>
      </c>
    </row>
    <row r="11" spans="1:7" s="578" customFormat="1">
      <c r="A11" s="571"/>
      <c r="B11" s="579"/>
      <c r="C11" s="580"/>
      <c r="D11" s="579"/>
      <c r="E11" s="581"/>
      <c r="F11" s="582"/>
      <c r="G11" s="583"/>
    </row>
    <row r="12" spans="1:7" s="578" customFormat="1">
      <c r="A12" s="571"/>
      <c r="B12" s="572"/>
      <c r="C12" s="573" t="s">
        <v>176</v>
      </c>
      <c r="D12" s="574"/>
      <c r="E12" s="575"/>
      <c r="F12" s="576"/>
      <c r="G12" s="577"/>
    </row>
    <row r="13" spans="1:7" s="578" customFormat="1">
      <c r="A13" s="584"/>
      <c r="B13" s="585" t="s">
        <v>18</v>
      </c>
      <c r="C13" s="586" t="s">
        <v>159</v>
      </c>
      <c r="D13" s="585" t="s">
        <v>12</v>
      </c>
      <c r="E13" s="587"/>
      <c r="F13" s="588" t="s">
        <v>13</v>
      </c>
      <c r="G13" s="589">
        <f>C13*E13</f>
        <v>0</v>
      </c>
    </row>
    <row r="14" spans="1:7" s="578" customFormat="1">
      <c r="A14" s="584"/>
      <c r="B14" s="585"/>
      <c r="C14" s="586"/>
      <c r="D14" s="585"/>
      <c r="E14" s="587"/>
      <c r="F14" s="588"/>
      <c r="G14" s="589"/>
    </row>
    <row r="15" spans="1:7" s="578" customFormat="1">
      <c r="A15" s="571"/>
      <c r="B15" s="572"/>
      <c r="C15" s="573" t="s">
        <v>256</v>
      </c>
      <c r="D15" s="574"/>
      <c r="E15" s="575"/>
      <c r="F15" s="576"/>
      <c r="G15" s="577"/>
    </row>
    <row r="16" spans="1:7" s="578" customFormat="1">
      <c r="A16" s="584"/>
      <c r="B16" s="585" t="s">
        <v>18</v>
      </c>
      <c r="C16" s="586" t="s">
        <v>159</v>
      </c>
      <c r="D16" s="585" t="s">
        <v>12</v>
      </c>
      <c r="E16" s="587"/>
      <c r="F16" s="588" t="s">
        <v>13</v>
      </c>
      <c r="G16" s="589">
        <f>C16*E16</f>
        <v>0</v>
      </c>
    </row>
    <row r="17" spans="1:7" s="578" customFormat="1">
      <c r="A17" s="584"/>
      <c r="B17" s="585"/>
      <c r="C17" s="586"/>
      <c r="D17" s="585"/>
      <c r="E17" s="587"/>
      <c r="F17" s="588"/>
      <c r="G17" s="589"/>
    </row>
    <row r="18" spans="1:7" s="578" customFormat="1">
      <c r="A18" s="571"/>
      <c r="B18" s="572"/>
      <c r="C18" s="573" t="s">
        <v>257</v>
      </c>
      <c r="D18" s="574"/>
      <c r="E18" s="575"/>
      <c r="F18" s="576"/>
      <c r="G18" s="577"/>
    </row>
    <row r="19" spans="1:7" s="578" customFormat="1">
      <c r="A19" s="584"/>
      <c r="B19" s="585" t="s">
        <v>18</v>
      </c>
      <c r="C19" s="586" t="s">
        <v>159</v>
      </c>
      <c r="D19" s="585" t="s">
        <v>12</v>
      </c>
      <c r="E19" s="587"/>
      <c r="F19" s="588" t="s">
        <v>13</v>
      </c>
      <c r="G19" s="589">
        <f>C19*E19</f>
        <v>0</v>
      </c>
    </row>
    <row r="20" spans="1:7" s="578" customFormat="1">
      <c r="A20" s="584"/>
      <c r="B20" s="585"/>
      <c r="C20" s="586"/>
      <c r="D20" s="585"/>
      <c r="E20" s="587"/>
      <c r="F20" s="588"/>
      <c r="G20" s="589"/>
    </row>
    <row r="21" spans="1:7">
      <c r="A21" s="361"/>
      <c r="B21" s="359"/>
      <c r="C21" s="362"/>
      <c r="D21" s="359"/>
      <c r="E21" s="370"/>
      <c r="F21" s="360"/>
      <c r="G21" s="363"/>
    </row>
    <row r="22" spans="1:7" ht="15.75">
      <c r="A22" s="419"/>
      <c r="B22" s="420"/>
      <c r="C22" s="421"/>
      <c r="D22" s="420"/>
      <c r="E22" s="403"/>
      <c r="F22" s="422"/>
      <c r="G22" s="386"/>
    </row>
    <row r="23" spans="1:7">
      <c r="A23" s="336" t="s">
        <v>28</v>
      </c>
      <c r="B23" s="329"/>
      <c r="C23" s="423" t="s">
        <v>29</v>
      </c>
      <c r="D23" s="329"/>
      <c r="E23" s="375"/>
      <c r="F23" s="373"/>
      <c r="G23" s="377"/>
    </row>
    <row r="24" spans="1:7">
      <c r="A24" s="336"/>
      <c r="B24" s="329"/>
      <c r="C24" s="423"/>
      <c r="D24" s="329"/>
      <c r="E24" s="375"/>
      <c r="F24" s="373"/>
      <c r="G24" s="377"/>
    </row>
    <row r="25" spans="1:7" ht="29.25">
      <c r="A25" s="424" t="s">
        <v>80</v>
      </c>
      <c r="B25" s="329"/>
      <c r="C25" s="329" t="s">
        <v>81</v>
      </c>
      <c r="D25" s="329"/>
      <c r="E25" s="375"/>
      <c r="F25" s="373"/>
      <c r="G25" s="377"/>
    </row>
    <row r="26" spans="1:7" ht="78">
      <c r="A26" s="453" t="s">
        <v>14</v>
      </c>
      <c r="B26" s="454"/>
      <c r="C26" s="455" t="s">
        <v>276</v>
      </c>
      <c r="D26" s="456"/>
      <c r="E26" s="457"/>
      <c r="F26" s="456"/>
      <c r="G26" s="458"/>
    </row>
    <row r="27" spans="1:7" ht="103.5">
      <c r="A27" s="459"/>
      <c r="B27" s="456"/>
      <c r="C27" s="391" t="s">
        <v>121</v>
      </c>
      <c r="D27" s="456"/>
      <c r="E27" s="457"/>
      <c r="F27" s="456"/>
      <c r="G27" s="458"/>
    </row>
    <row r="28" spans="1:7" ht="30">
      <c r="A28" s="459"/>
      <c r="B28" s="456"/>
      <c r="C28" s="391" t="s">
        <v>1</v>
      </c>
      <c r="D28" s="456"/>
      <c r="E28" s="457"/>
      <c r="F28" s="456"/>
      <c r="G28" s="458"/>
    </row>
    <row r="29" spans="1:7">
      <c r="A29" s="456"/>
      <c r="B29" s="454"/>
      <c r="C29" s="321" t="s">
        <v>59</v>
      </c>
      <c r="D29" s="456"/>
      <c r="E29" s="460"/>
      <c r="F29" s="456"/>
      <c r="G29" s="458"/>
    </row>
    <row r="30" spans="1:7" ht="240">
      <c r="A30" s="456"/>
      <c r="B30" s="454"/>
      <c r="C30" s="322" t="s">
        <v>122</v>
      </c>
      <c r="D30" s="456"/>
      <c r="E30" s="460"/>
      <c r="F30" s="456"/>
      <c r="G30" s="458"/>
    </row>
    <row r="31" spans="1:7" ht="180">
      <c r="A31" s="461"/>
      <c r="B31" s="462"/>
      <c r="C31" s="322" t="s">
        <v>277</v>
      </c>
      <c r="D31" s="461"/>
      <c r="E31" s="463"/>
      <c r="F31" s="461"/>
      <c r="G31" s="464"/>
    </row>
    <row r="32" spans="1:7" ht="60">
      <c r="A32" s="461"/>
      <c r="B32" s="462"/>
      <c r="C32" s="323" t="s">
        <v>143</v>
      </c>
      <c r="D32" s="461"/>
      <c r="E32" s="463"/>
      <c r="F32" s="461"/>
      <c r="G32" s="464"/>
    </row>
    <row r="33" spans="1:7" ht="120">
      <c r="A33" s="456"/>
      <c r="B33" s="454"/>
      <c r="C33" s="323" t="s">
        <v>144</v>
      </c>
      <c r="D33" s="456"/>
      <c r="E33" s="460"/>
      <c r="F33" s="456"/>
      <c r="G33" s="458"/>
    </row>
    <row r="34" spans="1:7" ht="45">
      <c r="A34" s="383"/>
      <c r="B34" s="319"/>
      <c r="C34" s="323" t="s">
        <v>123</v>
      </c>
      <c r="D34" s="319"/>
      <c r="E34" s="338"/>
      <c r="F34" s="220"/>
      <c r="G34" s="352"/>
    </row>
    <row r="35" spans="1:7" ht="75">
      <c r="A35" s="383"/>
      <c r="B35" s="319"/>
      <c r="C35" s="323" t="s">
        <v>60</v>
      </c>
      <c r="D35" s="319"/>
      <c r="E35" s="338"/>
      <c r="F35" s="220"/>
      <c r="G35" s="352"/>
    </row>
    <row r="36" spans="1:7" ht="30">
      <c r="A36" s="456"/>
      <c r="B36" s="454"/>
      <c r="C36" s="324" t="s">
        <v>61</v>
      </c>
      <c r="D36" s="456"/>
      <c r="E36" s="460"/>
      <c r="F36" s="456"/>
      <c r="G36" s="458"/>
    </row>
    <row r="37" spans="1:7">
      <c r="A37" s="456"/>
      <c r="B37" s="454"/>
      <c r="C37" s="325" t="s">
        <v>62</v>
      </c>
      <c r="D37" s="456"/>
      <c r="E37" s="460"/>
      <c r="F37" s="456"/>
      <c r="G37" s="458"/>
    </row>
    <row r="38" spans="1:7" ht="45">
      <c r="A38" s="456"/>
      <c r="B38" s="454"/>
      <c r="C38" s="326" t="s">
        <v>63</v>
      </c>
      <c r="D38" s="456"/>
      <c r="E38" s="460"/>
      <c r="F38" s="456"/>
      <c r="G38" s="458"/>
    </row>
    <row r="39" spans="1:7" ht="60">
      <c r="A39" s="456"/>
      <c r="B39" s="454"/>
      <c r="C39" s="326" t="s">
        <v>64</v>
      </c>
      <c r="D39" s="456"/>
      <c r="E39" s="460"/>
      <c r="F39" s="456"/>
      <c r="G39" s="458"/>
    </row>
    <row r="40" spans="1:7">
      <c r="A40" s="383"/>
      <c r="B40" s="319"/>
      <c r="C40" s="327" t="s">
        <v>65</v>
      </c>
      <c r="D40" s="319"/>
      <c r="E40" s="338"/>
      <c r="F40" s="220"/>
      <c r="G40" s="352"/>
    </row>
    <row r="41" spans="1:7">
      <c r="A41" s="383"/>
      <c r="B41" s="179"/>
      <c r="C41" s="391" t="s">
        <v>66</v>
      </c>
      <c r="D41" s="394"/>
      <c r="E41" s="353"/>
      <c r="F41" s="383"/>
      <c r="G41" s="354"/>
    </row>
    <row r="42" spans="1:7">
      <c r="A42" s="383"/>
      <c r="B42" s="179"/>
      <c r="C42" s="391"/>
      <c r="D42" s="394"/>
      <c r="E42" s="353"/>
      <c r="F42" s="383"/>
      <c r="G42" s="354"/>
    </row>
    <row r="43" spans="1:7" ht="45">
      <c r="A43" s="383"/>
      <c r="B43" s="394"/>
      <c r="C43" s="328" t="s">
        <v>278</v>
      </c>
      <c r="D43" s="394"/>
      <c r="E43" s="353"/>
      <c r="F43" s="383"/>
      <c r="G43" s="354"/>
    </row>
    <row r="44" spans="1:7">
      <c r="A44" s="383"/>
      <c r="B44" s="382" t="s">
        <v>18</v>
      </c>
      <c r="C44" s="440" t="s">
        <v>67</v>
      </c>
      <c r="D44" s="382" t="s">
        <v>12</v>
      </c>
      <c r="E44" s="341"/>
      <c r="F44" s="220" t="s">
        <v>13</v>
      </c>
      <c r="G44" s="340">
        <f>C44*E44</f>
        <v>0</v>
      </c>
    </row>
    <row r="45" spans="1:7">
      <c r="A45" s="383"/>
      <c r="B45" s="179"/>
      <c r="C45" s="391"/>
      <c r="D45" s="394"/>
      <c r="E45" s="353"/>
      <c r="F45" s="383"/>
      <c r="G45" s="354"/>
    </row>
    <row r="46" spans="1:7" ht="45">
      <c r="A46" s="383"/>
      <c r="B46" s="394"/>
      <c r="C46" s="328" t="s">
        <v>185</v>
      </c>
      <c r="D46" s="394"/>
      <c r="E46" s="353"/>
      <c r="F46" s="383"/>
      <c r="G46" s="354"/>
    </row>
    <row r="47" spans="1:7">
      <c r="A47" s="383"/>
      <c r="B47" s="382" t="s">
        <v>18</v>
      </c>
      <c r="C47" s="440" t="s">
        <v>67</v>
      </c>
      <c r="D47" s="382" t="s">
        <v>12</v>
      </c>
      <c r="E47" s="341"/>
      <c r="F47" s="220" t="s">
        <v>13</v>
      </c>
      <c r="G47" s="340">
        <f>C47*E47</f>
        <v>0</v>
      </c>
    </row>
    <row r="48" spans="1:7">
      <c r="A48" s="383"/>
      <c r="B48" s="382"/>
      <c r="C48" s="440"/>
      <c r="D48" s="382"/>
      <c r="E48" s="341"/>
      <c r="F48" s="220"/>
      <c r="G48" s="340"/>
    </row>
    <row r="49" spans="1:7" ht="45">
      <c r="A49" s="383"/>
      <c r="B49" s="394"/>
      <c r="C49" s="328" t="s">
        <v>279</v>
      </c>
      <c r="D49" s="394"/>
      <c r="E49" s="353"/>
      <c r="F49" s="383"/>
      <c r="G49" s="354"/>
    </row>
    <row r="50" spans="1:7">
      <c r="A50" s="383"/>
      <c r="B50" s="382" t="s">
        <v>18</v>
      </c>
      <c r="C50" s="440" t="s">
        <v>67</v>
      </c>
      <c r="D50" s="382" t="s">
        <v>12</v>
      </c>
      <c r="E50" s="341"/>
      <c r="F50" s="220" t="s">
        <v>13</v>
      </c>
      <c r="G50" s="340" t="s">
        <v>104</v>
      </c>
    </row>
    <row r="51" spans="1:7">
      <c r="A51" s="383"/>
      <c r="B51" s="382"/>
      <c r="C51" s="440"/>
      <c r="D51" s="382"/>
      <c r="E51" s="341"/>
      <c r="F51" s="220"/>
      <c r="G51" s="340"/>
    </row>
    <row r="52" spans="1:7">
      <c r="A52" s="383"/>
      <c r="B52" s="394"/>
      <c r="C52" s="328" t="s">
        <v>154</v>
      </c>
      <c r="D52" s="394"/>
      <c r="E52" s="353"/>
      <c r="F52" s="383"/>
      <c r="G52" s="354"/>
    </row>
    <row r="53" spans="1:7">
      <c r="A53" s="383"/>
      <c r="B53" s="382" t="s">
        <v>18</v>
      </c>
      <c r="C53" s="440" t="s">
        <v>67</v>
      </c>
      <c r="D53" s="382" t="s">
        <v>12</v>
      </c>
      <c r="E53" s="341"/>
      <c r="F53" s="220" t="s">
        <v>13</v>
      </c>
      <c r="G53" s="340">
        <f>C53*E53</f>
        <v>0</v>
      </c>
    </row>
    <row r="54" spans="1:7">
      <c r="A54" s="383"/>
      <c r="B54" s="382"/>
      <c r="C54" s="440"/>
      <c r="D54" s="382"/>
      <c r="E54" s="341"/>
      <c r="F54" s="220"/>
      <c r="G54" s="340"/>
    </row>
    <row r="55" spans="1:7" ht="60">
      <c r="A55" s="383"/>
      <c r="B55" s="394"/>
      <c r="C55" s="328" t="s">
        <v>280</v>
      </c>
      <c r="D55" s="394"/>
      <c r="E55" s="353"/>
      <c r="F55" s="383"/>
      <c r="G55" s="354"/>
    </row>
    <row r="56" spans="1:7">
      <c r="A56" s="383"/>
      <c r="B56" s="382" t="s">
        <v>18</v>
      </c>
      <c r="C56" s="440" t="s">
        <v>67</v>
      </c>
      <c r="D56" s="382" t="s">
        <v>12</v>
      </c>
      <c r="E56" s="341"/>
      <c r="F56" s="220" t="s">
        <v>13</v>
      </c>
      <c r="G56" s="340" t="s">
        <v>104</v>
      </c>
    </row>
    <row r="57" spans="1:7">
      <c r="A57" s="383"/>
      <c r="B57" s="179"/>
      <c r="C57" s="391"/>
      <c r="D57" s="394"/>
      <c r="E57" s="353"/>
      <c r="F57" s="383"/>
      <c r="G57" s="354"/>
    </row>
    <row r="58" spans="1:7">
      <c r="A58" s="383"/>
      <c r="B58" s="394"/>
      <c r="C58" s="328" t="s">
        <v>106</v>
      </c>
      <c r="D58" s="394"/>
      <c r="E58" s="353"/>
      <c r="F58" s="383"/>
      <c r="G58" s="354"/>
    </row>
    <row r="59" spans="1:7">
      <c r="A59" s="383"/>
      <c r="B59" s="382" t="s">
        <v>18</v>
      </c>
      <c r="C59" s="440" t="s">
        <v>164</v>
      </c>
      <c r="D59" s="382" t="s">
        <v>12</v>
      </c>
      <c r="E59" s="341"/>
      <c r="F59" s="220" t="s">
        <v>13</v>
      </c>
      <c r="G59" s="340">
        <f>C59*E59</f>
        <v>0</v>
      </c>
    </row>
    <row r="60" spans="1:7">
      <c r="A60" s="383"/>
      <c r="B60" s="382"/>
      <c r="C60" s="440"/>
      <c r="D60" s="382"/>
      <c r="E60" s="341"/>
      <c r="F60" s="220"/>
      <c r="G60" s="340"/>
    </row>
    <row r="61" spans="1:7" ht="45">
      <c r="A61" s="383"/>
      <c r="B61" s="394"/>
      <c r="C61" s="328" t="s">
        <v>145</v>
      </c>
      <c r="D61" s="394" t="s">
        <v>104</v>
      </c>
      <c r="E61" s="353"/>
      <c r="F61" s="383"/>
      <c r="G61" s="354"/>
    </row>
    <row r="62" spans="1:7">
      <c r="A62" s="383"/>
      <c r="B62" s="382" t="s">
        <v>18</v>
      </c>
      <c r="C62" s="440" t="s">
        <v>67</v>
      </c>
      <c r="D62" s="382" t="s">
        <v>12</v>
      </c>
      <c r="E62" s="341"/>
      <c r="F62" s="220" t="s">
        <v>13</v>
      </c>
      <c r="G62" s="340">
        <f>C62*E62</f>
        <v>0</v>
      </c>
    </row>
    <row r="63" spans="1:7">
      <c r="A63" s="383"/>
      <c r="B63" s="382"/>
      <c r="C63" s="440"/>
      <c r="D63" s="382"/>
      <c r="E63" s="341"/>
      <c r="F63" s="220"/>
      <c r="G63" s="340"/>
    </row>
    <row r="64" spans="1:7" ht="45">
      <c r="A64" s="383"/>
      <c r="B64" s="394"/>
      <c r="C64" s="328" t="s">
        <v>281</v>
      </c>
      <c r="D64" s="394"/>
      <c r="E64" s="353"/>
      <c r="F64" s="383"/>
      <c r="G64" s="354"/>
    </row>
    <row r="65" spans="1:7">
      <c r="A65" s="383"/>
      <c r="B65" s="382" t="s">
        <v>18</v>
      </c>
      <c r="C65" s="440" t="s">
        <v>170</v>
      </c>
      <c r="D65" s="382" t="s">
        <v>12</v>
      </c>
      <c r="E65" s="341"/>
      <c r="F65" s="220" t="s">
        <v>13</v>
      </c>
      <c r="G65" s="340">
        <f>C65*E65</f>
        <v>0</v>
      </c>
    </row>
    <row r="66" spans="1:7">
      <c r="A66" s="383"/>
      <c r="B66" s="382"/>
      <c r="C66" s="440"/>
      <c r="D66" s="382"/>
      <c r="E66" s="341"/>
      <c r="F66" s="220"/>
      <c r="G66" s="340"/>
    </row>
    <row r="67" spans="1:7" ht="45">
      <c r="A67" s="383"/>
      <c r="B67" s="394"/>
      <c r="C67" s="328" t="s">
        <v>155</v>
      </c>
      <c r="D67" s="394"/>
      <c r="E67" s="353"/>
      <c r="F67" s="383"/>
      <c r="G67" s="354"/>
    </row>
    <row r="68" spans="1:7">
      <c r="A68" s="383"/>
      <c r="B68" s="382" t="s">
        <v>18</v>
      </c>
      <c r="C68" s="440" t="s">
        <v>282</v>
      </c>
      <c r="D68" s="382" t="s">
        <v>12</v>
      </c>
      <c r="E68" s="341"/>
      <c r="F68" s="220" t="s">
        <v>13</v>
      </c>
      <c r="G68" s="340">
        <f>C68*E68</f>
        <v>0</v>
      </c>
    </row>
    <row r="69" spans="1:7">
      <c r="A69" s="383"/>
      <c r="B69" s="382"/>
      <c r="C69" s="440"/>
      <c r="D69" s="382"/>
      <c r="E69" s="341"/>
      <c r="F69" s="220"/>
      <c r="G69" s="340"/>
    </row>
    <row r="70" spans="1:7" ht="45">
      <c r="A70" s="383"/>
      <c r="B70" s="394"/>
      <c r="C70" s="328" t="s">
        <v>283</v>
      </c>
      <c r="D70" s="394"/>
      <c r="E70" s="353"/>
      <c r="F70" s="383"/>
      <c r="G70" s="354"/>
    </row>
    <row r="71" spans="1:7">
      <c r="A71" s="383"/>
      <c r="B71" s="382" t="s">
        <v>18</v>
      </c>
      <c r="C71" s="440" t="s">
        <v>67</v>
      </c>
      <c r="D71" s="382" t="s">
        <v>12</v>
      </c>
      <c r="E71" s="341"/>
      <c r="F71" s="220" t="s">
        <v>13</v>
      </c>
      <c r="G71" s="340">
        <f>C71*E71</f>
        <v>0</v>
      </c>
    </row>
    <row r="72" spans="1:7">
      <c r="A72" s="383"/>
      <c r="B72" s="382"/>
      <c r="C72" s="440"/>
      <c r="D72" s="382"/>
      <c r="E72" s="341"/>
      <c r="F72" s="220"/>
      <c r="G72" s="340"/>
    </row>
    <row r="73" spans="1:7" ht="45">
      <c r="A73" s="383"/>
      <c r="B73" s="394"/>
      <c r="C73" s="328" t="s">
        <v>284</v>
      </c>
      <c r="D73" s="394"/>
      <c r="E73" s="353"/>
      <c r="F73" s="383"/>
      <c r="G73" s="354"/>
    </row>
    <row r="74" spans="1:7">
      <c r="A74" s="383"/>
      <c r="B74" s="382" t="s">
        <v>18</v>
      </c>
      <c r="C74" s="440" t="s">
        <v>68</v>
      </c>
      <c r="D74" s="382" t="s">
        <v>12</v>
      </c>
      <c r="E74" s="341"/>
      <c r="F74" s="220" t="s">
        <v>13</v>
      </c>
      <c r="G74" s="340">
        <f>C74*E74</f>
        <v>0</v>
      </c>
    </row>
    <row r="75" spans="1:7">
      <c r="A75" s="383"/>
      <c r="B75" s="382"/>
      <c r="C75" s="440"/>
      <c r="D75" s="382" t="s">
        <v>104</v>
      </c>
      <c r="E75" s="341"/>
      <c r="F75" s="220"/>
      <c r="G75" s="340"/>
    </row>
    <row r="76" spans="1:7" ht="45">
      <c r="A76" s="383"/>
      <c r="B76" s="394"/>
      <c r="C76" s="328" t="s">
        <v>285</v>
      </c>
      <c r="D76" s="394"/>
      <c r="E76" s="353"/>
      <c r="F76" s="383"/>
      <c r="G76" s="354"/>
    </row>
    <row r="77" spans="1:7">
      <c r="A77" s="383"/>
      <c r="B77" s="382" t="s">
        <v>18</v>
      </c>
      <c r="C77" s="440" t="s">
        <v>67</v>
      </c>
      <c r="D77" s="382" t="s">
        <v>12</v>
      </c>
      <c r="E77" s="341"/>
      <c r="F77" s="220" t="s">
        <v>13</v>
      </c>
      <c r="G77" s="340">
        <f>C77*E77</f>
        <v>0</v>
      </c>
    </row>
    <row r="78" spans="1:7">
      <c r="A78" s="383"/>
      <c r="B78" s="382"/>
      <c r="C78" s="440"/>
      <c r="D78" s="382"/>
      <c r="E78" s="341"/>
      <c r="F78" s="220"/>
      <c r="G78" s="340"/>
    </row>
    <row r="79" spans="1:7">
      <c r="A79" s="383"/>
      <c r="B79" s="394"/>
      <c r="C79" s="328" t="s">
        <v>107</v>
      </c>
      <c r="D79" s="394"/>
      <c r="E79" s="353"/>
      <c r="F79" s="383"/>
      <c r="G79" s="354"/>
    </row>
    <row r="80" spans="1:7">
      <c r="A80" s="383"/>
      <c r="B80" s="382" t="s">
        <v>18</v>
      </c>
      <c r="C80" s="440" t="s">
        <v>286</v>
      </c>
      <c r="D80" s="382" t="s">
        <v>12</v>
      </c>
      <c r="E80" s="341"/>
      <c r="F80" s="220" t="s">
        <v>13</v>
      </c>
      <c r="G80" s="340">
        <f>C80*E80</f>
        <v>0</v>
      </c>
    </row>
    <row r="81" spans="1:7">
      <c r="A81" s="383"/>
      <c r="B81" s="382"/>
      <c r="C81" s="440"/>
      <c r="D81" s="382"/>
      <c r="E81" s="341"/>
      <c r="F81" s="220"/>
      <c r="G81" s="340"/>
    </row>
    <row r="82" spans="1:7" ht="45">
      <c r="A82" s="383"/>
      <c r="B82" s="394"/>
      <c r="C82" s="328" t="s">
        <v>287</v>
      </c>
      <c r="D82" s="394"/>
      <c r="E82" s="353"/>
      <c r="F82" s="383"/>
      <c r="G82" s="354"/>
    </row>
    <row r="83" spans="1:7">
      <c r="A83" s="383"/>
      <c r="B83" s="382" t="s">
        <v>18</v>
      </c>
      <c r="C83" s="440" t="s">
        <v>79</v>
      </c>
      <c r="D83" s="382" t="s">
        <v>12</v>
      </c>
      <c r="E83" s="341"/>
      <c r="F83" s="220" t="s">
        <v>13</v>
      </c>
      <c r="G83" s="340">
        <f>C83*E83</f>
        <v>0</v>
      </c>
    </row>
    <row r="84" spans="1:7">
      <c r="A84" s="383"/>
      <c r="B84" s="382"/>
      <c r="C84" s="440"/>
      <c r="D84" s="382"/>
      <c r="E84" s="341"/>
      <c r="F84" s="220"/>
      <c r="G84" s="340"/>
    </row>
    <row r="85" spans="1:7">
      <c r="A85" s="383"/>
      <c r="B85" s="394"/>
      <c r="C85" s="328" t="s">
        <v>108</v>
      </c>
      <c r="D85" s="394"/>
      <c r="E85" s="353"/>
      <c r="F85" s="383"/>
      <c r="G85" s="354"/>
    </row>
    <row r="86" spans="1:7">
      <c r="A86" s="383"/>
      <c r="B86" s="382" t="s">
        <v>18</v>
      </c>
      <c r="C86" s="440" t="s">
        <v>68</v>
      </c>
      <c r="D86" s="382" t="s">
        <v>12</v>
      </c>
      <c r="E86" s="341"/>
      <c r="F86" s="220" t="s">
        <v>13</v>
      </c>
      <c r="G86" s="340">
        <f>C86*E86</f>
        <v>0</v>
      </c>
    </row>
    <row r="87" spans="1:7">
      <c r="A87" s="383"/>
      <c r="B87" s="382"/>
      <c r="C87" s="440"/>
      <c r="D87" s="382"/>
      <c r="E87" s="341"/>
      <c r="F87" s="220"/>
      <c r="G87" s="340"/>
    </row>
    <row r="88" spans="1:7" ht="45">
      <c r="A88" s="383"/>
      <c r="B88" s="394"/>
      <c r="C88" s="328" t="s">
        <v>288</v>
      </c>
      <c r="D88" s="394"/>
      <c r="E88" s="353"/>
      <c r="F88" s="383"/>
      <c r="G88" s="354"/>
    </row>
    <row r="89" spans="1:7">
      <c r="A89" s="383"/>
      <c r="B89" s="382" t="s">
        <v>18</v>
      </c>
      <c r="C89" s="440" t="s">
        <v>6</v>
      </c>
      <c r="D89" s="382" t="s">
        <v>12</v>
      </c>
      <c r="E89" s="341"/>
      <c r="F89" s="220" t="s">
        <v>13</v>
      </c>
      <c r="G89" s="340">
        <f>C89*E89</f>
        <v>0</v>
      </c>
    </row>
    <row r="90" spans="1:7">
      <c r="A90" s="383"/>
      <c r="B90" s="394"/>
      <c r="C90" s="328" t="s">
        <v>104</v>
      </c>
      <c r="D90" s="394"/>
      <c r="E90" s="353" t="s">
        <v>104</v>
      </c>
      <c r="F90" s="383"/>
      <c r="G90" s="354"/>
    </row>
    <row r="91" spans="1:7">
      <c r="A91" s="383"/>
      <c r="B91" s="382"/>
      <c r="C91" s="440"/>
      <c r="D91" s="382"/>
      <c r="E91" s="341"/>
      <c r="F91" s="220"/>
      <c r="G91" s="340"/>
    </row>
    <row r="92" spans="1:7">
      <c r="A92" s="441"/>
      <c r="B92" s="442"/>
      <c r="C92" s="443" t="s">
        <v>86</v>
      </c>
      <c r="D92" s="444"/>
      <c r="E92" s="445"/>
      <c r="F92" s="444"/>
      <c r="G92" s="446"/>
    </row>
    <row r="93" spans="1:7">
      <c r="A93" s="441"/>
      <c r="B93" s="442"/>
      <c r="C93" s="447" t="s">
        <v>87</v>
      </c>
      <c r="D93" s="444"/>
      <c r="E93" s="445"/>
      <c r="F93" s="444"/>
      <c r="G93" s="446"/>
    </row>
    <row r="94" spans="1:7">
      <c r="A94" s="441"/>
      <c r="B94" s="442"/>
      <c r="C94" s="447" t="s">
        <v>88</v>
      </c>
      <c r="D94" s="444"/>
      <c r="E94" s="445"/>
      <c r="F94" s="444"/>
      <c r="G94" s="446"/>
    </row>
    <row r="95" spans="1:7">
      <c r="A95" s="441"/>
      <c r="B95" s="442"/>
      <c r="C95" s="447" t="s">
        <v>89</v>
      </c>
      <c r="D95" s="444"/>
      <c r="E95" s="445"/>
      <c r="F95" s="444"/>
      <c r="G95" s="446"/>
    </row>
    <row r="96" spans="1:7">
      <c r="A96" s="441"/>
      <c r="B96" s="442"/>
      <c r="C96" s="447"/>
      <c r="D96" s="444"/>
      <c r="E96" s="445"/>
      <c r="F96" s="444"/>
      <c r="G96" s="446"/>
    </row>
    <row r="97" spans="1:7">
      <c r="A97" s="448"/>
      <c r="B97" s="449"/>
      <c r="C97" s="450"/>
      <c r="D97" s="449"/>
      <c r="E97" s="451"/>
      <c r="F97" s="449"/>
      <c r="G97" s="452"/>
    </row>
    <row r="98" spans="1:7" ht="60">
      <c r="A98" s="465" t="s">
        <v>16</v>
      </c>
      <c r="B98" s="319"/>
      <c r="C98" s="391" t="s">
        <v>289</v>
      </c>
      <c r="D98" s="382"/>
      <c r="E98" s="352"/>
      <c r="F98" s="220"/>
      <c r="G98" s="352"/>
    </row>
    <row r="99" spans="1:7">
      <c r="A99" s="466"/>
      <c r="B99" s="319"/>
      <c r="C99" s="467" t="s">
        <v>103</v>
      </c>
      <c r="D99" s="382"/>
      <c r="E99" s="352"/>
      <c r="F99" s="220"/>
      <c r="G99" s="352"/>
    </row>
    <row r="100" spans="1:7">
      <c r="A100" s="466"/>
      <c r="B100" s="319"/>
      <c r="C100" s="467"/>
      <c r="D100" s="382"/>
      <c r="E100" s="352"/>
      <c r="F100" s="220"/>
      <c r="G100" s="352"/>
    </row>
    <row r="101" spans="1:7">
      <c r="A101" s="466"/>
      <c r="B101" s="319"/>
      <c r="C101" s="468" t="s">
        <v>290</v>
      </c>
      <c r="D101" s="382"/>
      <c r="E101" s="352"/>
      <c r="F101" s="220"/>
      <c r="G101" s="352"/>
    </row>
    <row r="102" spans="1:7">
      <c r="A102" s="466"/>
      <c r="B102" s="382" t="s">
        <v>18</v>
      </c>
      <c r="C102" s="469" t="s">
        <v>67</v>
      </c>
      <c r="D102" s="382" t="s">
        <v>12</v>
      </c>
      <c r="E102" s="352"/>
      <c r="F102" s="220" t="s">
        <v>13</v>
      </c>
      <c r="G102" s="352">
        <f>C102*E102</f>
        <v>0</v>
      </c>
    </row>
    <row r="103" spans="1:7">
      <c r="A103" s="466"/>
      <c r="B103" s="382"/>
      <c r="C103" s="469"/>
      <c r="D103" s="382"/>
      <c r="E103" s="352"/>
      <c r="F103" s="220"/>
      <c r="G103" s="352"/>
    </row>
    <row r="104" spans="1:7">
      <c r="A104" s="466"/>
      <c r="B104" s="319"/>
      <c r="C104" s="468" t="s">
        <v>190</v>
      </c>
      <c r="D104" s="382"/>
      <c r="E104" s="352"/>
      <c r="F104" s="220"/>
      <c r="G104" s="352"/>
    </row>
    <row r="105" spans="1:7">
      <c r="A105" s="466"/>
      <c r="B105" s="382" t="s">
        <v>18</v>
      </c>
      <c r="C105" s="469" t="s">
        <v>6</v>
      </c>
      <c r="D105" s="382" t="s">
        <v>12</v>
      </c>
      <c r="E105" s="352"/>
      <c r="F105" s="220" t="s">
        <v>13</v>
      </c>
      <c r="G105" s="352">
        <f>C105*E105</f>
        <v>0</v>
      </c>
    </row>
    <row r="106" spans="1:7">
      <c r="A106" s="466"/>
      <c r="B106" s="382"/>
      <c r="C106" s="469"/>
      <c r="D106" s="382"/>
      <c r="E106" s="352"/>
      <c r="F106" s="220"/>
      <c r="G106" s="352"/>
    </row>
    <row r="107" spans="1:7">
      <c r="A107" s="441"/>
      <c r="B107" s="442"/>
      <c r="C107" s="443" t="s">
        <v>86</v>
      </c>
      <c r="D107" s="444"/>
      <c r="E107" s="445"/>
      <c r="F107" s="444"/>
      <c r="G107" s="446"/>
    </row>
    <row r="108" spans="1:7">
      <c r="A108" s="441"/>
      <c r="B108" s="442"/>
      <c r="C108" s="447" t="s">
        <v>87</v>
      </c>
      <c r="D108" s="444"/>
      <c r="E108" s="445"/>
      <c r="F108" s="444"/>
      <c r="G108" s="446"/>
    </row>
    <row r="109" spans="1:7">
      <c r="A109" s="441"/>
      <c r="B109" s="442"/>
      <c r="C109" s="447" t="s">
        <v>88</v>
      </c>
      <c r="D109" s="444"/>
      <c r="E109" s="445"/>
      <c r="F109" s="444"/>
      <c r="G109" s="446"/>
    </row>
    <row r="110" spans="1:7">
      <c r="A110" s="441"/>
      <c r="B110" s="442"/>
      <c r="C110" s="447" t="s">
        <v>89</v>
      </c>
      <c r="D110" s="444"/>
      <c r="E110" s="445"/>
      <c r="F110" s="444"/>
      <c r="G110" s="446"/>
    </row>
    <row r="111" spans="1:7">
      <c r="A111" s="448"/>
      <c r="B111" s="449"/>
      <c r="C111" s="450"/>
      <c r="D111" s="449"/>
      <c r="E111" s="451"/>
      <c r="F111" s="449"/>
      <c r="G111" s="452"/>
    </row>
    <row r="112" spans="1:7" ht="120">
      <c r="A112" s="383" t="s">
        <v>17</v>
      </c>
      <c r="B112" s="319"/>
      <c r="C112" s="318" t="s">
        <v>291</v>
      </c>
      <c r="D112" s="382"/>
      <c r="E112" s="341"/>
      <c r="F112" s="220"/>
      <c r="G112" s="340"/>
    </row>
    <row r="113" spans="1:7" ht="45">
      <c r="A113" s="383"/>
      <c r="B113" s="319"/>
      <c r="C113" s="318" t="s">
        <v>101</v>
      </c>
      <c r="D113" s="382"/>
      <c r="E113" s="341"/>
      <c r="F113" s="220"/>
      <c r="G113" s="340"/>
    </row>
    <row r="114" spans="1:7" ht="45">
      <c r="A114" s="383"/>
      <c r="B114" s="382"/>
      <c r="C114" s="318" t="s">
        <v>102</v>
      </c>
      <c r="D114" s="382"/>
      <c r="E114" s="341"/>
      <c r="F114" s="220"/>
      <c r="G114" s="340"/>
    </row>
    <row r="115" spans="1:7">
      <c r="A115" s="383"/>
      <c r="B115" s="382"/>
      <c r="C115" s="379" t="s">
        <v>69</v>
      </c>
      <c r="D115" s="382"/>
      <c r="E115" s="341"/>
      <c r="F115" s="220"/>
      <c r="G115" s="340"/>
    </row>
    <row r="116" spans="1:7">
      <c r="A116" s="383"/>
      <c r="B116" s="382"/>
      <c r="C116" s="379"/>
      <c r="D116" s="382"/>
      <c r="E116" s="341"/>
      <c r="F116" s="220"/>
      <c r="G116" s="340"/>
    </row>
    <row r="117" spans="1:7">
      <c r="A117" s="383"/>
      <c r="B117" s="382"/>
      <c r="C117" s="470" t="s">
        <v>163</v>
      </c>
      <c r="D117" s="382"/>
      <c r="E117" s="341"/>
      <c r="F117" s="220"/>
      <c r="G117" s="340"/>
    </row>
    <row r="118" spans="1:7">
      <c r="A118" s="383"/>
      <c r="B118" s="382"/>
      <c r="C118" s="467" t="s">
        <v>90</v>
      </c>
      <c r="D118" s="382"/>
      <c r="E118" s="341"/>
      <c r="F118" s="220"/>
      <c r="G118" s="340"/>
    </row>
    <row r="119" spans="1:7">
      <c r="A119" s="383"/>
      <c r="B119" s="382" t="s">
        <v>18</v>
      </c>
      <c r="C119" s="440" t="s">
        <v>6</v>
      </c>
      <c r="D119" s="382" t="s">
        <v>12</v>
      </c>
      <c r="E119" s="341"/>
      <c r="F119" s="220" t="s">
        <v>13</v>
      </c>
      <c r="G119" s="390">
        <f>C119*E119</f>
        <v>0</v>
      </c>
    </row>
    <row r="120" spans="1:7">
      <c r="A120" s="383"/>
      <c r="B120" s="382"/>
      <c r="C120" s="440"/>
      <c r="D120" s="382"/>
      <c r="E120" s="341"/>
      <c r="F120" s="220"/>
      <c r="G120" s="390"/>
    </row>
    <row r="121" spans="1:7">
      <c r="A121" s="383"/>
      <c r="B121" s="382"/>
      <c r="C121" s="470" t="s">
        <v>292</v>
      </c>
      <c r="D121" s="382"/>
      <c r="E121" s="341"/>
      <c r="F121" s="220"/>
      <c r="G121" s="340"/>
    </row>
    <row r="122" spans="1:7">
      <c r="A122" s="383"/>
      <c r="B122" s="382"/>
      <c r="C122" s="467" t="s">
        <v>90</v>
      </c>
      <c r="D122" s="382"/>
      <c r="E122" s="341"/>
      <c r="F122" s="220"/>
      <c r="G122" s="340"/>
    </row>
    <row r="123" spans="1:7">
      <c r="A123" s="383"/>
      <c r="B123" s="382" t="s">
        <v>18</v>
      </c>
      <c r="C123" s="440" t="s">
        <v>293</v>
      </c>
      <c r="D123" s="382" t="s">
        <v>12</v>
      </c>
      <c r="E123" s="341"/>
      <c r="F123" s="220" t="s">
        <v>13</v>
      </c>
      <c r="G123" s="390">
        <f>C123*E123</f>
        <v>0</v>
      </c>
    </row>
    <row r="124" spans="1:7">
      <c r="A124" s="383"/>
      <c r="B124" s="382"/>
      <c r="C124" s="467" t="s">
        <v>70</v>
      </c>
      <c r="D124" s="382"/>
      <c r="E124" s="341"/>
      <c r="F124" s="220"/>
      <c r="G124" s="340"/>
    </row>
    <row r="125" spans="1:7">
      <c r="A125" s="383"/>
      <c r="B125" s="382" t="s">
        <v>18</v>
      </c>
      <c r="C125" s="440" t="s">
        <v>282</v>
      </c>
      <c r="D125" s="382" t="s">
        <v>12</v>
      </c>
      <c r="E125" s="341"/>
      <c r="F125" s="220" t="s">
        <v>13</v>
      </c>
      <c r="G125" s="390">
        <f>C125*E125</f>
        <v>0</v>
      </c>
    </row>
    <row r="126" spans="1:7">
      <c r="A126" s="383"/>
      <c r="B126" s="382"/>
      <c r="C126" s="467" t="s">
        <v>71</v>
      </c>
      <c r="D126" s="382"/>
      <c r="E126" s="341"/>
      <c r="F126" s="220"/>
      <c r="G126" s="340"/>
    </row>
    <row r="127" spans="1:7">
      <c r="A127" s="383"/>
      <c r="B127" s="382" t="s">
        <v>18</v>
      </c>
      <c r="C127" s="440" t="s">
        <v>159</v>
      </c>
      <c r="D127" s="382" t="s">
        <v>12</v>
      </c>
      <c r="E127" s="341"/>
      <c r="F127" s="220" t="s">
        <v>13</v>
      </c>
      <c r="G127" s="390">
        <f>C127*E127</f>
        <v>0</v>
      </c>
    </row>
    <row r="128" spans="1:7">
      <c r="A128" s="383"/>
      <c r="B128" s="382"/>
      <c r="C128" s="440"/>
      <c r="D128" s="382"/>
      <c r="E128" s="341"/>
      <c r="F128" s="220"/>
      <c r="G128" s="390"/>
    </row>
    <row r="129" spans="1:7">
      <c r="A129" s="441"/>
      <c r="B129" s="442"/>
      <c r="C129" s="443" t="s">
        <v>86</v>
      </c>
      <c r="D129" s="444"/>
      <c r="E129" s="445"/>
      <c r="F129" s="444"/>
      <c r="G129" s="446"/>
    </row>
    <row r="130" spans="1:7">
      <c r="A130" s="441"/>
      <c r="B130" s="442"/>
      <c r="C130" s="447" t="s">
        <v>87</v>
      </c>
      <c r="D130" s="444"/>
      <c r="E130" s="445"/>
      <c r="F130" s="444"/>
      <c r="G130" s="446"/>
    </row>
    <row r="131" spans="1:7">
      <c r="A131" s="441"/>
      <c r="B131" s="442"/>
      <c r="C131" s="447" t="s">
        <v>88</v>
      </c>
      <c r="D131" s="444"/>
      <c r="E131" s="445"/>
      <c r="F131" s="444"/>
      <c r="G131" s="446"/>
    </row>
    <row r="132" spans="1:7">
      <c r="A132" s="441"/>
      <c r="B132" s="442"/>
      <c r="C132" s="447" t="s">
        <v>89</v>
      </c>
      <c r="D132" s="444"/>
      <c r="E132" s="445"/>
      <c r="F132" s="444"/>
      <c r="G132" s="446"/>
    </row>
    <row r="133" spans="1:7">
      <c r="A133" s="441"/>
      <c r="B133" s="442"/>
      <c r="C133" s="447"/>
      <c r="D133" s="444"/>
      <c r="E133" s="445"/>
      <c r="F133" s="444"/>
      <c r="G133" s="446"/>
    </row>
    <row r="134" spans="1:7">
      <c r="A134" s="448"/>
      <c r="B134" s="449"/>
      <c r="C134" s="450"/>
      <c r="D134" s="449"/>
      <c r="E134" s="451"/>
      <c r="F134" s="449"/>
      <c r="G134" s="452"/>
    </row>
    <row r="135" spans="1:7" ht="105">
      <c r="A135" s="383" t="s">
        <v>19</v>
      </c>
      <c r="B135" s="394"/>
      <c r="C135" s="467" t="s">
        <v>294</v>
      </c>
      <c r="D135" s="394"/>
      <c r="E135" s="353"/>
      <c r="F135" s="383"/>
      <c r="G135" s="354"/>
    </row>
    <row r="136" spans="1:7" ht="30">
      <c r="A136" s="383"/>
      <c r="B136" s="394"/>
      <c r="C136" s="467" t="s">
        <v>295</v>
      </c>
      <c r="D136" s="394"/>
      <c r="E136" s="353"/>
      <c r="F136" s="383"/>
      <c r="G136" s="354"/>
    </row>
    <row r="137" spans="1:7">
      <c r="A137" s="383"/>
      <c r="B137" s="394"/>
      <c r="C137" s="467"/>
      <c r="D137" s="394"/>
      <c r="E137" s="353"/>
      <c r="F137" s="383"/>
      <c r="G137" s="354"/>
    </row>
    <row r="138" spans="1:7">
      <c r="A138" s="471"/>
      <c r="B138" s="472"/>
      <c r="C138" s="473" t="s">
        <v>167</v>
      </c>
      <c r="D138" s="471"/>
      <c r="E138" s="474"/>
      <c r="F138" s="471"/>
      <c r="G138" s="475"/>
    </row>
    <row r="139" spans="1:7">
      <c r="A139" s="476"/>
      <c r="B139" s="477" t="s">
        <v>18</v>
      </c>
      <c r="C139" s="358" t="s">
        <v>296</v>
      </c>
      <c r="D139" s="211" t="s">
        <v>12</v>
      </c>
      <c r="E139" s="478"/>
      <c r="F139" s="479" t="s">
        <v>13</v>
      </c>
      <c r="G139" s="480">
        <f>C139*E139</f>
        <v>0</v>
      </c>
    </row>
    <row r="140" spans="1:7">
      <c r="A140" s="476"/>
      <c r="B140" s="477"/>
      <c r="C140" s="358"/>
      <c r="D140" s="211"/>
      <c r="E140" s="478"/>
      <c r="F140" s="479"/>
      <c r="G140" s="480"/>
    </row>
    <row r="141" spans="1:7">
      <c r="A141" s="471"/>
      <c r="B141" s="472"/>
      <c r="C141" s="473" t="s">
        <v>124</v>
      </c>
      <c r="D141" s="471"/>
      <c r="E141" s="474"/>
      <c r="F141" s="471"/>
      <c r="G141" s="475"/>
    </row>
    <row r="142" spans="1:7">
      <c r="A142" s="476"/>
      <c r="B142" s="477" t="s">
        <v>18</v>
      </c>
      <c r="C142" s="358" t="s">
        <v>297</v>
      </c>
      <c r="D142" s="211" t="s">
        <v>12</v>
      </c>
      <c r="E142" s="478"/>
      <c r="F142" s="479" t="s">
        <v>13</v>
      </c>
      <c r="G142" s="480">
        <f>C142*E142</f>
        <v>0</v>
      </c>
    </row>
    <row r="143" spans="1:7">
      <c r="A143" s="476"/>
      <c r="B143" s="477"/>
      <c r="C143" s="358"/>
      <c r="D143" s="211"/>
      <c r="E143" s="478"/>
      <c r="F143" s="479"/>
      <c r="G143" s="480"/>
    </row>
    <row r="144" spans="1:7">
      <c r="A144" s="476"/>
      <c r="B144" s="477"/>
      <c r="C144" s="358"/>
      <c r="D144" s="211"/>
      <c r="E144" s="478"/>
      <c r="F144" s="479"/>
      <c r="G144" s="480"/>
    </row>
    <row r="145" spans="1:7">
      <c r="A145" s="476"/>
      <c r="B145" s="477"/>
      <c r="C145" s="443" t="s">
        <v>86</v>
      </c>
      <c r="D145" s="211"/>
      <c r="E145" s="478"/>
      <c r="F145" s="479"/>
      <c r="G145" s="480"/>
    </row>
    <row r="146" spans="1:7">
      <c r="A146" s="441"/>
      <c r="B146" s="442"/>
      <c r="C146" s="447" t="s">
        <v>87</v>
      </c>
      <c r="D146" s="444"/>
      <c r="E146" s="445" t="s">
        <v>104</v>
      </c>
      <c r="F146" s="444"/>
      <c r="G146" s="446"/>
    </row>
    <row r="147" spans="1:7">
      <c r="A147" s="441"/>
      <c r="B147" s="442"/>
      <c r="C147" s="447" t="s">
        <v>88</v>
      </c>
      <c r="D147" s="444"/>
      <c r="E147" s="445"/>
      <c r="F147" s="444"/>
      <c r="G147" s="446"/>
    </row>
    <row r="148" spans="1:7">
      <c r="A148" s="481"/>
      <c r="B148" s="482"/>
      <c r="C148" s="483" t="s">
        <v>89</v>
      </c>
      <c r="D148" s="484"/>
      <c r="E148" s="485"/>
      <c r="F148" s="484"/>
      <c r="G148" s="486"/>
    </row>
    <row r="149" spans="1:7">
      <c r="A149" s="481"/>
      <c r="B149" s="482"/>
      <c r="C149" s="483"/>
      <c r="D149" s="484"/>
      <c r="E149" s="485"/>
      <c r="F149" s="484"/>
      <c r="G149" s="486"/>
    </row>
    <row r="150" spans="1:7">
      <c r="A150" s="448"/>
      <c r="B150" s="449"/>
      <c r="C150" s="450"/>
      <c r="D150" s="449"/>
      <c r="E150" s="451"/>
      <c r="F150" s="449"/>
      <c r="G150" s="452"/>
    </row>
    <row r="151" spans="1:7" ht="45">
      <c r="A151" s="383" t="s">
        <v>20</v>
      </c>
      <c r="B151" s="319"/>
      <c r="C151" s="487" t="s">
        <v>72</v>
      </c>
      <c r="D151" s="319"/>
      <c r="E151" s="338"/>
      <c r="F151" s="220"/>
      <c r="G151" s="340"/>
    </row>
    <row r="152" spans="1:7" ht="30">
      <c r="A152" s="383"/>
      <c r="B152" s="319"/>
      <c r="C152" s="487" t="s">
        <v>298</v>
      </c>
      <c r="D152" s="319"/>
      <c r="E152" s="338"/>
      <c r="F152" s="220"/>
      <c r="G152" s="340"/>
    </row>
    <row r="153" spans="1:7">
      <c r="A153" s="383"/>
      <c r="B153" s="382"/>
      <c r="C153" s="440"/>
      <c r="D153" s="382"/>
      <c r="E153" s="341"/>
      <c r="F153" s="220"/>
      <c r="G153" s="340"/>
    </row>
    <row r="154" spans="1:7" ht="30">
      <c r="A154" s="383"/>
      <c r="B154" s="488" t="s">
        <v>97</v>
      </c>
      <c r="C154" s="391" t="s">
        <v>299</v>
      </c>
      <c r="D154" s="382"/>
      <c r="E154" s="341"/>
      <c r="F154" s="220"/>
      <c r="G154" s="352"/>
    </row>
    <row r="155" spans="1:7" ht="30">
      <c r="A155" s="383"/>
      <c r="B155" s="319"/>
      <c r="C155" s="391" t="s">
        <v>4</v>
      </c>
      <c r="D155" s="382"/>
      <c r="E155" s="341"/>
      <c r="F155" s="220"/>
      <c r="G155" s="352"/>
    </row>
    <row r="156" spans="1:7">
      <c r="A156" s="383"/>
      <c r="B156" s="382"/>
      <c r="C156" s="467" t="s">
        <v>5</v>
      </c>
      <c r="D156" s="382"/>
      <c r="E156" s="341"/>
      <c r="F156" s="220"/>
      <c r="G156" s="352"/>
    </row>
    <row r="157" spans="1:7">
      <c r="A157" s="383"/>
      <c r="B157" s="382"/>
      <c r="C157" s="467"/>
      <c r="D157" s="382"/>
      <c r="E157" s="341"/>
      <c r="F157" s="220"/>
      <c r="G157" s="352"/>
    </row>
    <row r="158" spans="1:7">
      <c r="A158" s="383"/>
      <c r="B158" s="382" t="s">
        <v>18</v>
      </c>
      <c r="C158" s="440" t="s">
        <v>275</v>
      </c>
      <c r="D158" s="382" t="s">
        <v>12</v>
      </c>
      <c r="E158" s="341"/>
      <c r="F158" s="220" t="s">
        <v>13</v>
      </c>
      <c r="G158" s="352">
        <f>C158*E158</f>
        <v>0</v>
      </c>
    </row>
    <row r="159" spans="1:7">
      <c r="A159" s="383"/>
      <c r="B159" s="382"/>
      <c r="C159" s="440"/>
      <c r="D159" s="382"/>
      <c r="E159" s="341"/>
      <c r="F159" s="220"/>
      <c r="G159" s="352"/>
    </row>
    <row r="160" spans="1:7" ht="45">
      <c r="A160" s="383"/>
      <c r="B160" s="383" t="s">
        <v>98</v>
      </c>
      <c r="C160" s="391" t="s">
        <v>105</v>
      </c>
      <c r="D160" s="382"/>
      <c r="E160" s="341"/>
      <c r="F160" s="220"/>
      <c r="G160" s="352"/>
    </row>
    <row r="161" spans="1:7" ht="30">
      <c r="A161" s="383"/>
      <c r="B161" s="319"/>
      <c r="C161" s="391" t="s">
        <v>99</v>
      </c>
      <c r="D161" s="382"/>
      <c r="E161" s="341"/>
      <c r="F161" s="220"/>
      <c r="G161" s="352"/>
    </row>
    <row r="162" spans="1:7">
      <c r="A162" s="383"/>
      <c r="B162" s="382"/>
      <c r="C162" s="467" t="s">
        <v>69</v>
      </c>
      <c r="D162" s="382"/>
      <c r="E162" s="341"/>
      <c r="F162" s="220"/>
      <c r="G162" s="352"/>
    </row>
    <row r="163" spans="1:7">
      <c r="A163" s="383"/>
      <c r="B163" s="382"/>
      <c r="C163" s="467"/>
      <c r="D163" s="382"/>
      <c r="E163" s="341"/>
      <c r="F163" s="220"/>
      <c r="G163" s="352"/>
    </row>
    <row r="164" spans="1:7">
      <c r="A164" s="383"/>
      <c r="B164" s="382"/>
      <c r="C164" s="467" t="s">
        <v>70</v>
      </c>
      <c r="D164" s="382"/>
      <c r="E164" s="341"/>
      <c r="F164" s="220"/>
      <c r="G164" s="352"/>
    </row>
    <row r="165" spans="1:7">
      <c r="A165" s="383"/>
      <c r="B165" s="382" t="s">
        <v>18</v>
      </c>
      <c r="C165" s="440" t="s">
        <v>177</v>
      </c>
      <c r="D165" s="382" t="s">
        <v>12</v>
      </c>
      <c r="E165" s="341"/>
      <c r="F165" s="220" t="s">
        <v>13</v>
      </c>
      <c r="G165" s="352">
        <f>C165*E165</f>
        <v>0</v>
      </c>
    </row>
    <row r="166" spans="1:7">
      <c r="A166" s="383"/>
      <c r="B166" s="382"/>
      <c r="C166" s="467" t="s">
        <v>71</v>
      </c>
      <c r="D166" s="382"/>
      <c r="E166" s="341"/>
      <c r="F166" s="220"/>
      <c r="G166" s="352"/>
    </row>
    <row r="167" spans="1:7">
      <c r="A167" s="383"/>
      <c r="B167" s="382" t="s">
        <v>18</v>
      </c>
      <c r="C167" s="440" t="s">
        <v>177</v>
      </c>
      <c r="D167" s="382" t="s">
        <v>12</v>
      </c>
      <c r="E167" s="341"/>
      <c r="F167" s="220" t="s">
        <v>13</v>
      </c>
      <c r="G167" s="352">
        <f>C167*E167</f>
        <v>0</v>
      </c>
    </row>
    <row r="168" spans="1:7">
      <c r="A168" s="383"/>
      <c r="B168" s="382"/>
      <c r="C168" s="440"/>
      <c r="D168" s="382"/>
      <c r="E168" s="341"/>
      <c r="F168" s="220"/>
      <c r="G168" s="352"/>
    </row>
    <row r="169" spans="1:7" ht="90">
      <c r="A169" s="383"/>
      <c r="B169" s="383" t="s">
        <v>300</v>
      </c>
      <c r="C169" s="391" t="s">
        <v>301</v>
      </c>
      <c r="D169" s="382"/>
      <c r="E169" s="341"/>
      <c r="F169" s="220"/>
      <c r="G169" s="352"/>
    </row>
    <row r="170" spans="1:7">
      <c r="A170" s="383"/>
      <c r="B170" s="382"/>
      <c r="C170" s="467" t="s">
        <v>46</v>
      </c>
      <c r="D170" s="382"/>
      <c r="E170" s="341"/>
      <c r="F170" s="220"/>
      <c r="G170" s="352"/>
    </row>
    <row r="171" spans="1:7">
      <c r="A171" s="383"/>
      <c r="B171" s="382"/>
      <c r="C171" s="467"/>
      <c r="D171" s="382"/>
      <c r="E171" s="341"/>
      <c r="F171" s="220"/>
      <c r="G171" s="352"/>
    </row>
    <row r="172" spans="1:7">
      <c r="A172" s="383"/>
      <c r="B172" s="382" t="s">
        <v>18</v>
      </c>
      <c r="C172" s="440" t="s">
        <v>253</v>
      </c>
      <c r="D172" s="382" t="s">
        <v>12</v>
      </c>
      <c r="E172" s="341"/>
      <c r="F172" s="220" t="s">
        <v>13</v>
      </c>
      <c r="G172" s="352">
        <f>C172*E172</f>
        <v>0</v>
      </c>
    </row>
    <row r="173" spans="1:7">
      <c r="A173" s="383"/>
      <c r="B173" s="382"/>
      <c r="C173" s="440"/>
      <c r="D173" s="382"/>
      <c r="E173" s="341"/>
      <c r="F173" s="220"/>
      <c r="G173" s="352"/>
    </row>
    <row r="174" spans="1:7">
      <c r="A174" s="441"/>
      <c r="B174" s="442"/>
      <c r="C174" s="443" t="s">
        <v>86</v>
      </c>
      <c r="D174" s="444"/>
      <c r="E174" s="445"/>
      <c r="F174" s="444"/>
      <c r="G174" s="446"/>
    </row>
    <row r="175" spans="1:7">
      <c r="A175" s="441"/>
      <c r="B175" s="442"/>
      <c r="C175" s="447" t="s">
        <v>87</v>
      </c>
      <c r="D175" s="444"/>
      <c r="E175" s="445"/>
      <c r="F175" s="444"/>
      <c r="G175" s="446"/>
    </row>
    <row r="176" spans="1:7">
      <c r="A176" s="441"/>
      <c r="B176" s="442"/>
      <c r="C176" s="447" t="s">
        <v>88</v>
      </c>
      <c r="D176" s="444"/>
      <c r="E176" s="445"/>
      <c r="F176" s="444"/>
      <c r="G176" s="446"/>
    </row>
    <row r="177" spans="1:7">
      <c r="A177" s="441"/>
      <c r="B177" s="442"/>
      <c r="C177" s="447" t="s">
        <v>89</v>
      </c>
      <c r="D177" s="444"/>
      <c r="E177" s="445"/>
      <c r="F177" s="444"/>
      <c r="G177" s="446"/>
    </row>
    <row r="178" spans="1:7">
      <c r="A178" s="441"/>
      <c r="B178" s="442"/>
      <c r="C178" s="447"/>
      <c r="D178" s="444"/>
      <c r="E178" s="445"/>
      <c r="F178" s="444"/>
      <c r="G178" s="446"/>
    </row>
    <row r="179" spans="1:7">
      <c r="A179" s="441"/>
      <c r="B179" s="442"/>
      <c r="C179" s="447"/>
      <c r="D179" s="444"/>
      <c r="E179" s="445"/>
      <c r="F179" s="444"/>
      <c r="G179" s="446"/>
    </row>
    <row r="180" spans="1:7" ht="60">
      <c r="A180" s="383" t="s">
        <v>21</v>
      </c>
      <c r="B180" s="489"/>
      <c r="C180" s="318" t="s">
        <v>302</v>
      </c>
      <c r="D180" s="382"/>
      <c r="E180" s="341"/>
      <c r="F180" s="220"/>
      <c r="G180" s="352"/>
    </row>
    <row r="181" spans="1:7">
      <c r="A181" s="383"/>
      <c r="B181" s="382"/>
      <c r="C181" s="467" t="s">
        <v>46</v>
      </c>
      <c r="D181" s="382"/>
      <c r="E181" s="341"/>
      <c r="F181" s="220"/>
      <c r="G181" s="352"/>
    </row>
    <row r="182" spans="1:7">
      <c r="A182" s="383"/>
      <c r="B182" s="382"/>
      <c r="C182" s="467"/>
      <c r="D182" s="382"/>
      <c r="E182" s="341"/>
      <c r="F182" s="220"/>
      <c r="G182" s="352"/>
    </row>
    <row r="183" spans="1:7">
      <c r="A183" s="383"/>
      <c r="B183" s="382"/>
      <c r="C183" s="470" t="s">
        <v>165</v>
      </c>
      <c r="D183" s="382"/>
      <c r="E183" s="341"/>
      <c r="F183" s="220"/>
      <c r="G183" s="352"/>
    </row>
    <row r="184" spans="1:7">
      <c r="A184" s="383"/>
      <c r="B184" s="382" t="s">
        <v>18</v>
      </c>
      <c r="C184" s="440" t="s">
        <v>6</v>
      </c>
      <c r="D184" s="382" t="s">
        <v>12</v>
      </c>
      <c r="E184" s="341"/>
      <c r="F184" s="220" t="s">
        <v>13</v>
      </c>
      <c r="G184" s="352">
        <f>C184*E184</f>
        <v>0</v>
      </c>
    </row>
    <row r="185" spans="1:7">
      <c r="A185" s="383"/>
      <c r="B185" s="382"/>
      <c r="C185" s="440"/>
      <c r="D185" s="382"/>
      <c r="E185" s="341"/>
      <c r="F185" s="220"/>
      <c r="G185" s="352"/>
    </row>
    <row r="186" spans="1:7">
      <c r="A186" s="383"/>
      <c r="B186" s="382"/>
      <c r="C186" s="470" t="s">
        <v>303</v>
      </c>
      <c r="D186" s="382"/>
      <c r="E186" s="341"/>
      <c r="F186" s="220"/>
      <c r="G186" s="352"/>
    </row>
    <row r="187" spans="1:7">
      <c r="A187" s="383"/>
      <c r="B187" s="382" t="s">
        <v>18</v>
      </c>
      <c r="C187" s="440" t="s">
        <v>96</v>
      </c>
      <c r="D187" s="382" t="s">
        <v>12</v>
      </c>
      <c r="E187" s="341"/>
      <c r="F187" s="220" t="s">
        <v>13</v>
      </c>
      <c r="G187" s="352">
        <f>C187*E187</f>
        <v>0</v>
      </c>
    </row>
    <row r="188" spans="1:7">
      <c r="A188" s="383"/>
      <c r="B188" s="382"/>
      <c r="C188" s="440"/>
      <c r="D188" s="382"/>
      <c r="E188" s="341"/>
      <c r="F188" s="220"/>
      <c r="G188" s="352"/>
    </row>
    <row r="189" spans="1:7">
      <c r="A189" s="441"/>
      <c r="B189" s="442"/>
      <c r="C189" s="443" t="s">
        <v>86</v>
      </c>
      <c r="D189" s="444"/>
      <c r="E189" s="445"/>
      <c r="F189" s="444"/>
      <c r="G189" s="446"/>
    </row>
    <row r="190" spans="1:7">
      <c r="A190" s="441"/>
      <c r="B190" s="442"/>
      <c r="C190" s="447" t="s">
        <v>87</v>
      </c>
      <c r="D190" s="444"/>
      <c r="E190" s="445"/>
      <c r="F190" s="444"/>
      <c r="G190" s="446"/>
    </row>
    <row r="191" spans="1:7">
      <c r="A191" s="441"/>
      <c r="B191" s="442"/>
      <c r="C191" s="447" t="s">
        <v>88</v>
      </c>
      <c r="D191" s="444"/>
      <c r="E191" s="445"/>
      <c r="F191" s="444"/>
      <c r="G191" s="446"/>
    </row>
    <row r="192" spans="1:7">
      <c r="A192" s="441"/>
      <c r="B192" s="442"/>
      <c r="C192" s="447" t="s">
        <v>89</v>
      </c>
      <c r="D192" s="444"/>
      <c r="E192" s="445"/>
      <c r="F192" s="444"/>
      <c r="G192" s="446"/>
    </row>
    <row r="193" spans="1:7">
      <c r="A193" s="404"/>
      <c r="B193" s="405"/>
      <c r="C193" s="406"/>
      <c r="D193" s="405"/>
      <c r="E193" s="407"/>
      <c r="F193" s="405"/>
      <c r="G193" s="408"/>
    </row>
    <row r="194" spans="1:7" ht="15.75">
      <c r="A194" s="397"/>
      <c r="B194" s="399"/>
      <c r="C194" s="398"/>
      <c r="D194" s="399"/>
      <c r="E194" s="403"/>
      <c r="F194" s="396"/>
      <c r="G194" s="386"/>
    </row>
    <row r="195" spans="1:7" ht="31.5">
      <c r="A195" s="490" t="s">
        <v>80</v>
      </c>
      <c r="B195" s="409"/>
      <c r="C195" s="491" t="s">
        <v>84</v>
      </c>
      <c r="D195" s="320"/>
      <c r="E195" s="410"/>
      <c r="F195" s="411" t="s">
        <v>13</v>
      </c>
      <c r="G195" s="412">
        <f>SUM(G26:G192)</f>
        <v>0</v>
      </c>
    </row>
    <row r="196" spans="1:7" ht="15.75">
      <c r="A196" s="413"/>
      <c r="B196" s="414"/>
      <c r="C196" s="415"/>
      <c r="D196" s="414"/>
      <c r="E196" s="416"/>
      <c r="F196" s="417"/>
      <c r="G196" s="418"/>
    </row>
    <row r="197" spans="1:7" ht="15.75">
      <c r="A197" s="492"/>
      <c r="B197" s="493"/>
      <c r="C197" s="494"/>
      <c r="D197" s="493"/>
      <c r="E197" s="495"/>
      <c r="F197" s="496"/>
      <c r="G197" s="497"/>
    </row>
    <row r="198" spans="1:7">
      <c r="A198" s="424" t="s">
        <v>82</v>
      </c>
      <c r="B198" s="329"/>
      <c r="C198" s="329" t="s">
        <v>83</v>
      </c>
      <c r="D198" s="329"/>
      <c r="E198" s="375"/>
      <c r="F198" s="373"/>
      <c r="G198" s="377"/>
    </row>
    <row r="199" spans="1:7">
      <c r="A199" s="332"/>
      <c r="B199" s="337"/>
      <c r="C199" s="358"/>
      <c r="D199" s="337"/>
      <c r="E199" s="338"/>
      <c r="F199" s="339"/>
      <c r="G199" s="352"/>
    </row>
    <row r="200" spans="1:7" ht="105">
      <c r="A200" s="383" t="s">
        <v>10</v>
      </c>
      <c r="B200" s="319"/>
      <c r="C200" s="318" t="s">
        <v>304</v>
      </c>
      <c r="D200" s="319"/>
      <c r="E200" s="338"/>
      <c r="F200" s="220"/>
      <c r="G200" s="340"/>
    </row>
    <row r="201" spans="1:7" ht="60">
      <c r="A201" s="383"/>
      <c r="B201" s="319"/>
      <c r="C201" s="318" t="s">
        <v>136</v>
      </c>
      <c r="D201" s="319"/>
      <c r="E201" s="338"/>
      <c r="F201" s="220"/>
      <c r="G201" s="340"/>
    </row>
    <row r="202" spans="1:7">
      <c r="A202" s="383"/>
      <c r="B202" s="394"/>
      <c r="C202" s="318" t="s">
        <v>30</v>
      </c>
      <c r="D202" s="394"/>
      <c r="E202" s="353"/>
      <c r="F202" s="383"/>
      <c r="G202" s="354"/>
    </row>
    <row r="203" spans="1:7">
      <c r="A203" s="383"/>
      <c r="B203" s="394"/>
      <c r="C203" s="318"/>
      <c r="D203" s="394"/>
      <c r="E203" s="353"/>
      <c r="F203" s="383"/>
      <c r="G203" s="354"/>
    </row>
    <row r="204" spans="1:7" ht="15.75">
      <c r="A204" s="425"/>
      <c r="B204" s="383" t="s">
        <v>225</v>
      </c>
      <c r="C204" s="402" t="s">
        <v>148</v>
      </c>
      <c r="D204" s="426"/>
      <c r="E204" s="427"/>
      <c r="F204" s="428"/>
      <c r="G204" s="429"/>
    </row>
    <row r="205" spans="1:7">
      <c r="A205" s="332"/>
      <c r="B205" s="317"/>
      <c r="C205" s="316" t="s">
        <v>259</v>
      </c>
      <c r="D205" s="333"/>
      <c r="E205" s="334"/>
      <c r="F205" s="317"/>
      <c r="G205" s="335"/>
    </row>
    <row r="206" spans="1:7">
      <c r="A206" s="342"/>
      <c r="B206" s="343" t="s">
        <v>11</v>
      </c>
      <c r="C206" s="344" t="s">
        <v>305</v>
      </c>
      <c r="D206" s="333"/>
      <c r="E206" s="334"/>
      <c r="F206" s="317"/>
      <c r="G206" s="335"/>
    </row>
    <row r="207" spans="1:7" ht="15.75">
      <c r="A207" s="425"/>
      <c r="B207" s="426"/>
      <c r="C207" s="316"/>
      <c r="D207" s="426"/>
      <c r="E207" s="427"/>
      <c r="F207" s="428"/>
      <c r="G207" s="429"/>
    </row>
    <row r="208" spans="1:7" ht="15.75">
      <c r="A208" s="430"/>
      <c r="B208" s="431" t="s">
        <v>11</v>
      </c>
      <c r="C208" s="350">
        <v>257</v>
      </c>
      <c r="D208" s="432" t="s">
        <v>12</v>
      </c>
      <c r="E208" s="433"/>
      <c r="F208" s="434" t="s">
        <v>13</v>
      </c>
      <c r="G208" s="435">
        <f>C208*E208</f>
        <v>0</v>
      </c>
    </row>
    <row r="209" spans="1:7">
      <c r="A209" s="332"/>
      <c r="B209" s="337"/>
      <c r="C209" s="357"/>
      <c r="D209" s="337"/>
      <c r="E209" s="338"/>
      <c r="F209" s="339"/>
      <c r="G209" s="340"/>
    </row>
    <row r="210" spans="1:7" ht="15.75">
      <c r="A210" s="425"/>
      <c r="B210" s="383" t="s">
        <v>226</v>
      </c>
      <c r="C210" s="402" t="s">
        <v>274</v>
      </c>
      <c r="D210" s="426"/>
      <c r="E210" s="427"/>
      <c r="F210" s="428"/>
      <c r="G210" s="429"/>
    </row>
    <row r="211" spans="1:7">
      <c r="A211" s="332"/>
      <c r="B211" s="317"/>
      <c r="C211" s="316" t="s">
        <v>151</v>
      </c>
      <c r="D211" s="333"/>
      <c r="E211" s="334"/>
      <c r="F211" s="317"/>
      <c r="G211" s="335"/>
    </row>
    <row r="212" spans="1:7">
      <c r="A212" s="342"/>
      <c r="B212" s="343" t="s">
        <v>11</v>
      </c>
      <c r="C212" s="344" t="s">
        <v>306</v>
      </c>
      <c r="D212" s="333"/>
      <c r="E212" s="334"/>
      <c r="F212" s="317"/>
      <c r="G212" s="335"/>
    </row>
    <row r="213" spans="1:7">
      <c r="A213" s="332"/>
      <c r="B213" s="317"/>
      <c r="C213" s="316" t="s">
        <v>152</v>
      </c>
      <c r="D213" s="333"/>
      <c r="E213" s="334"/>
      <c r="F213" s="317"/>
      <c r="G213" s="335"/>
    </row>
    <row r="214" spans="1:7">
      <c r="A214" s="342"/>
      <c r="B214" s="343" t="s">
        <v>11</v>
      </c>
      <c r="C214" s="436" t="s">
        <v>307</v>
      </c>
      <c r="D214" s="333"/>
      <c r="E214" s="334"/>
      <c r="F214" s="317"/>
      <c r="G214" s="335"/>
    </row>
    <row r="215" spans="1:7">
      <c r="A215" s="332"/>
      <c r="B215" s="317"/>
      <c r="C215" s="316" t="s">
        <v>243</v>
      </c>
      <c r="D215" s="333"/>
      <c r="E215" s="334"/>
      <c r="F215" s="317"/>
      <c r="G215" s="335"/>
    </row>
    <row r="216" spans="1:7">
      <c r="A216" s="342"/>
      <c r="B216" s="343" t="s">
        <v>11</v>
      </c>
      <c r="C216" s="436" t="s">
        <v>308</v>
      </c>
      <c r="D216" s="333"/>
      <c r="E216" s="334"/>
      <c r="F216" s="317"/>
      <c r="G216" s="335"/>
    </row>
    <row r="217" spans="1:7">
      <c r="A217" s="332"/>
      <c r="B217" s="317"/>
      <c r="C217" s="316" t="s">
        <v>265</v>
      </c>
      <c r="D217" s="333"/>
      <c r="E217" s="334"/>
      <c r="F217" s="317"/>
      <c r="G217" s="335"/>
    </row>
    <row r="218" spans="1:7">
      <c r="A218" s="342"/>
      <c r="B218" s="343" t="s">
        <v>11</v>
      </c>
      <c r="C218" s="436" t="s">
        <v>309</v>
      </c>
      <c r="D218" s="333"/>
      <c r="E218" s="334"/>
      <c r="F218" s="317"/>
      <c r="G218" s="335"/>
    </row>
    <row r="219" spans="1:7">
      <c r="A219" s="332"/>
      <c r="B219" s="317"/>
      <c r="C219" s="316" t="s">
        <v>244</v>
      </c>
      <c r="D219" s="333"/>
      <c r="E219" s="334"/>
      <c r="F219" s="317"/>
      <c r="G219" s="335"/>
    </row>
    <row r="220" spans="1:7">
      <c r="A220" s="342"/>
      <c r="B220" s="343" t="s">
        <v>11</v>
      </c>
      <c r="C220" s="344" t="s">
        <v>310</v>
      </c>
      <c r="D220" s="333"/>
      <c r="E220" s="334"/>
      <c r="F220" s="317"/>
      <c r="G220" s="335"/>
    </row>
    <row r="221" spans="1:7">
      <c r="A221" s="332"/>
      <c r="B221" s="317"/>
      <c r="C221" s="316" t="s">
        <v>258</v>
      </c>
      <c r="D221" s="333"/>
      <c r="E221" s="334"/>
      <c r="F221" s="317"/>
      <c r="G221" s="335"/>
    </row>
    <row r="222" spans="1:7">
      <c r="A222" s="342"/>
      <c r="B222" s="343" t="s">
        <v>11</v>
      </c>
      <c r="C222" s="436" t="s">
        <v>311</v>
      </c>
      <c r="D222" s="333"/>
      <c r="E222" s="334"/>
      <c r="F222" s="317"/>
      <c r="G222" s="335"/>
    </row>
    <row r="223" spans="1:7">
      <c r="A223" s="332"/>
      <c r="B223" s="317"/>
      <c r="C223" s="316" t="s">
        <v>245</v>
      </c>
      <c r="D223" s="333"/>
      <c r="E223" s="334"/>
      <c r="F223" s="317"/>
      <c r="G223" s="335"/>
    </row>
    <row r="224" spans="1:7">
      <c r="A224" s="342"/>
      <c r="B224" s="343" t="s">
        <v>11</v>
      </c>
      <c r="C224" s="436" t="s">
        <v>312</v>
      </c>
      <c r="D224" s="333"/>
      <c r="E224" s="334"/>
      <c r="F224" s="317"/>
      <c r="G224" s="335"/>
    </row>
    <row r="225" spans="1:7">
      <c r="A225" s="332"/>
      <c r="B225" s="317"/>
      <c r="C225" s="316" t="s">
        <v>259</v>
      </c>
      <c r="D225" s="333"/>
      <c r="E225" s="334"/>
      <c r="F225" s="317"/>
      <c r="G225" s="335"/>
    </row>
    <row r="226" spans="1:7">
      <c r="A226" s="342"/>
      <c r="B226" s="343" t="s">
        <v>11</v>
      </c>
      <c r="C226" s="436" t="s">
        <v>313</v>
      </c>
      <c r="D226" s="333"/>
      <c r="E226" s="334"/>
      <c r="F226" s="317"/>
      <c r="G226" s="335"/>
    </row>
    <row r="227" spans="1:7">
      <c r="A227" s="332"/>
      <c r="B227" s="317"/>
      <c r="C227" s="316" t="s">
        <v>266</v>
      </c>
      <c r="D227" s="333"/>
      <c r="E227" s="334"/>
      <c r="F227" s="317"/>
      <c r="G227" s="335"/>
    </row>
    <row r="228" spans="1:7">
      <c r="A228" s="342"/>
      <c r="B228" s="343" t="s">
        <v>11</v>
      </c>
      <c r="C228" s="436" t="s">
        <v>314</v>
      </c>
      <c r="D228" s="333"/>
      <c r="E228" s="334"/>
      <c r="F228" s="317"/>
      <c r="G228" s="335"/>
    </row>
    <row r="229" spans="1:7">
      <c r="A229" s="332"/>
      <c r="B229" s="317"/>
      <c r="C229" s="316" t="s">
        <v>267</v>
      </c>
      <c r="D229" s="333"/>
      <c r="E229" s="334"/>
      <c r="F229" s="317"/>
      <c r="G229" s="335"/>
    </row>
    <row r="230" spans="1:7">
      <c r="A230" s="342"/>
      <c r="B230" s="343" t="s">
        <v>11</v>
      </c>
      <c r="C230" s="344" t="s">
        <v>246</v>
      </c>
      <c r="D230" s="333"/>
      <c r="E230" s="334"/>
      <c r="F230" s="317"/>
      <c r="G230" s="335"/>
    </row>
    <row r="231" spans="1:7">
      <c r="A231" s="332"/>
      <c r="B231" s="317"/>
      <c r="C231" s="316" t="s">
        <v>260</v>
      </c>
      <c r="D231" s="333"/>
      <c r="E231" s="334"/>
      <c r="F231" s="317"/>
      <c r="G231" s="335"/>
    </row>
    <row r="232" spans="1:7">
      <c r="A232" s="342"/>
      <c r="B232" s="343" t="s">
        <v>11</v>
      </c>
      <c r="C232" s="436" t="s">
        <v>315</v>
      </c>
      <c r="D232" s="333"/>
      <c r="E232" s="334"/>
      <c r="F232" s="317"/>
      <c r="G232" s="335"/>
    </row>
    <row r="233" spans="1:7">
      <c r="A233" s="332"/>
      <c r="B233" s="317"/>
      <c r="C233" s="316" t="s">
        <v>261</v>
      </c>
      <c r="D233" s="333"/>
      <c r="E233" s="334"/>
      <c r="F233" s="317"/>
      <c r="G233" s="335"/>
    </row>
    <row r="234" spans="1:7">
      <c r="A234" s="342"/>
      <c r="B234" s="343" t="s">
        <v>11</v>
      </c>
      <c r="C234" s="436" t="s">
        <v>316</v>
      </c>
      <c r="D234" s="333"/>
      <c r="E234" s="334"/>
      <c r="F234" s="317"/>
      <c r="G234" s="335"/>
    </row>
    <row r="235" spans="1:7">
      <c r="A235" s="332"/>
      <c r="B235" s="317"/>
      <c r="C235" s="316" t="s">
        <v>268</v>
      </c>
      <c r="D235" s="333"/>
      <c r="E235" s="334"/>
      <c r="F235" s="317"/>
      <c r="G235" s="335"/>
    </row>
    <row r="236" spans="1:7">
      <c r="A236" s="342"/>
      <c r="B236" s="343" t="s">
        <v>11</v>
      </c>
      <c r="C236" s="436" t="s">
        <v>247</v>
      </c>
      <c r="D236" s="333"/>
      <c r="E236" s="334"/>
      <c r="F236" s="317"/>
      <c r="G236" s="335"/>
    </row>
    <row r="237" spans="1:7">
      <c r="A237" s="332"/>
      <c r="B237" s="317"/>
      <c r="C237" s="316" t="s">
        <v>269</v>
      </c>
      <c r="D237" s="333"/>
      <c r="E237" s="334"/>
      <c r="F237" s="317"/>
      <c r="G237" s="335"/>
    </row>
    <row r="238" spans="1:7">
      <c r="A238" s="342"/>
      <c r="B238" s="343" t="s">
        <v>11</v>
      </c>
      <c r="C238" s="436" t="s">
        <v>317</v>
      </c>
      <c r="D238" s="333"/>
      <c r="E238" s="334"/>
      <c r="F238" s="317"/>
      <c r="G238" s="335"/>
    </row>
    <row r="239" spans="1:7">
      <c r="A239" s="332"/>
      <c r="B239" s="317"/>
      <c r="C239" s="316" t="s">
        <v>262</v>
      </c>
      <c r="D239" s="333"/>
      <c r="E239" s="334"/>
      <c r="F239" s="317"/>
      <c r="G239" s="335"/>
    </row>
    <row r="240" spans="1:7">
      <c r="A240" s="342"/>
      <c r="B240" s="343" t="s">
        <v>11</v>
      </c>
      <c r="C240" s="344" t="s">
        <v>318</v>
      </c>
      <c r="D240" s="333"/>
      <c r="E240" s="334"/>
      <c r="F240" s="317"/>
      <c r="G240" s="335"/>
    </row>
    <row r="241" spans="1:7">
      <c r="A241" s="332"/>
      <c r="B241" s="317"/>
      <c r="C241" s="316" t="s">
        <v>270</v>
      </c>
      <c r="D241" s="333"/>
      <c r="E241" s="334"/>
      <c r="F241" s="317"/>
      <c r="G241" s="335"/>
    </row>
    <row r="242" spans="1:7">
      <c r="A242" s="342"/>
      <c r="B242" s="343" t="s">
        <v>11</v>
      </c>
      <c r="C242" s="436" t="s">
        <v>247</v>
      </c>
      <c r="D242" s="333"/>
      <c r="E242" s="334"/>
      <c r="F242" s="317"/>
      <c r="G242" s="335"/>
    </row>
    <row r="243" spans="1:7">
      <c r="A243" s="332"/>
      <c r="B243" s="317"/>
      <c r="C243" s="316" t="s">
        <v>271</v>
      </c>
      <c r="D243" s="333"/>
      <c r="E243" s="334"/>
      <c r="F243" s="317"/>
      <c r="G243" s="335"/>
    </row>
    <row r="244" spans="1:7">
      <c r="A244" s="342"/>
      <c r="B244" s="343" t="s">
        <v>11</v>
      </c>
      <c r="C244" s="436" t="s">
        <v>248</v>
      </c>
      <c r="D244" s="333"/>
      <c r="E244" s="334"/>
      <c r="F244" s="317"/>
      <c r="G244" s="335"/>
    </row>
    <row r="245" spans="1:7">
      <c r="A245" s="332"/>
      <c r="B245" s="317"/>
      <c r="C245" s="316" t="s">
        <v>263</v>
      </c>
      <c r="D245" s="333"/>
      <c r="E245" s="334"/>
      <c r="F245" s="317"/>
      <c r="G245" s="335"/>
    </row>
    <row r="246" spans="1:7">
      <c r="A246" s="342"/>
      <c r="B246" s="343" t="s">
        <v>11</v>
      </c>
      <c r="C246" s="436" t="s">
        <v>249</v>
      </c>
      <c r="D246" s="333"/>
      <c r="E246" s="334"/>
      <c r="F246" s="317"/>
      <c r="G246" s="335"/>
    </row>
    <row r="247" spans="1:7">
      <c r="A247" s="332"/>
      <c r="B247" s="317"/>
      <c r="C247" s="316" t="s">
        <v>272</v>
      </c>
      <c r="D247" s="333"/>
      <c r="E247" s="334"/>
      <c r="F247" s="317"/>
      <c r="G247" s="335"/>
    </row>
    <row r="248" spans="1:7">
      <c r="A248" s="342"/>
      <c r="B248" s="343" t="s">
        <v>11</v>
      </c>
      <c r="C248" s="436" t="s">
        <v>250</v>
      </c>
      <c r="D248" s="333"/>
      <c r="E248" s="334"/>
      <c r="F248" s="317"/>
      <c r="G248" s="335"/>
    </row>
    <row r="249" spans="1:7">
      <c r="A249" s="332"/>
      <c r="B249" s="317"/>
      <c r="C249" s="316" t="s">
        <v>264</v>
      </c>
      <c r="D249" s="333"/>
      <c r="E249" s="334"/>
      <c r="F249" s="317"/>
      <c r="G249" s="335"/>
    </row>
    <row r="250" spans="1:7">
      <c r="A250" s="342"/>
      <c r="B250" s="343" t="s">
        <v>11</v>
      </c>
      <c r="C250" s="436" t="s">
        <v>251</v>
      </c>
      <c r="D250" s="333"/>
      <c r="E250" s="334"/>
      <c r="F250" s="317"/>
      <c r="G250" s="335"/>
    </row>
    <row r="251" spans="1:7">
      <c r="A251" s="332"/>
      <c r="B251" s="317"/>
      <c r="C251" s="316" t="s">
        <v>273</v>
      </c>
      <c r="D251" s="333"/>
      <c r="E251" s="334"/>
      <c r="F251" s="317"/>
      <c r="G251" s="335"/>
    </row>
    <row r="252" spans="1:7">
      <c r="A252" s="342"/>
      <c r="B252" s="343" t="s">
        <v>11</v>
      </c>
      <c r="C252" s="437" t="s">
        <v>252</v>
      </c>
      <c r="D252" s="333"/>
      <c r="E252" s="334"/>
      <c r="F252" s="317"/>
      <c r="G252" s="335"/>
    </row>
    <row r="253" spans="1:7" ht="15.75">
      <c r="A253" s="430"/>
      <c r="B253" s="343"/>
      <c r="C253" s="436" t="s">
        <v>319</v>
      </c>
      <c r="D253" s="333"/>
      <c r="E253" s="438"/>
      <c r="F253" s="317"/>
      <c r="G253" s="439"/>
    </row>
    <row r="254" spans="1:7" ht="15.75">
      <c r="A254" s="425"/>
      <c r="B254" s="333"/>
      <c r="C254" s="316"/>
      <c r="D254" s="333"/>
      <c r="E254" s="353"/>
      <c r="F254" s="332"/>
      <c r="G254" s="354"/>
    </row>
    <row r="255" spans="1:7" ht="15.75">
      <c r="A255" s="430"/>
      <c r="B255" s="431" t="s">
        <v>11</v>
      </c>
      <c r="C255" s="350">
        <v>1993</v>
      </c>
      <c r="D255" s="432" t="s">
        <v>12</v>
      </c>
      <c r="E255" s="433"/>
      <c r="F255" s="434" t="s">
        <v>13</v>
      </c>
      <c r="G255" s="435">
        <f>C255*E255</f>
        <v>0</v>
      </c>
    </row>
    <row r="256" spans="1:7">
      <c r="A256" s="383"/>
      <c r="B256" s="394"/>
      <c r="C256" s="391"/>
      <c r="D256" s="394"/>
      <c r="E256" s="353"/>
      <c r="F256" s="383"/>
      <c r="G256" s="354"/>
    </row>
    <row r="257" spans="1:7" ht="15.75">
      <c r="A257" s="425"/>
      <c r="B257" s="426"/>
      <c r="C257" s="498"/>
      <c r="D257" s="426"/>
      <c r="E257" s="427"/>
      <c r="F257" s="428"/>
      <c r="G257" s="429"/>
    </row>
    <row r="258" spans="1:7">
      <c r="A258" s="448"/>
      <c r="B258" s="449"/>
      <c r="C258" s="450"/>
      <c r="D258" s="449"/>
      <c r="E258" s="451"/>
      <c r="F258" s="449"/>
      <c r="G258" s="452"/>
    </row>
    <row r="259" spans="1:7" ht="75">
      <c r="A259" s="383" t="s">
        <v>14</v>
      </c>
      <c r="B259" s="319"/>
      <c r="C259" s="391" t="s">
        <v>320</v>
      </c>
      <c r="D259" s="319"/>
      <c r="E259" s="338"/>
      <c r="F259" s="220"/>
      <c r="G259" s="340"/>
    </row>
    <row r="260" spans="1:7" ht="75">
      <c r="A260" s="383"/>
      <c r="B260" s="319"/>
      <c r="C260" s="391" t="s">
        <v>138</v>
      </c>
      <c r="D260" s="319"/>
      <c r="E260" s="338"/>
      <c r="F260" s="220"/>
      <c r="G260" s="340"/>
    </row>
    <row r="261" spans="1:7" ht="90">
      <c r="A261" s="383"/>
      <c r="B261" s="319"/>
      <c r="C261" s="318" t="s">
        <v>137</v>
      </c>
      <c r="D261" s="319"/>
      <c r="E261" s="338"/>
      <c r="F261" s="220"/>
      <c r="G261" s="340"/>
    </row>
    <row r="262" spans="1:7">
      <c r="A262" s="383"/>
      <c r="B262" s="394"/>
      <c r="C262" s="391" t="s">
        <v>73</v>
      </c>
      <c r="D262" s="394"/>
      <c r="E262" s="353"/>
      <c r="F262" s="383"/>
      <c r="G262" s="354"/>
    </row>
    <row r="263" spans="1:7">
      <c r="A263" s="383"/>
      <c r="B263" s="394"/>
      <c r="C263" s="391"/>
      <c r="D263" s="394"/>
      <c r="E263" s="353"/>
      <c r="F263" s="383"/>
      <c r="G263" s="354"/>
    </row>
    <row r="264" spans="1:7">
      <c r="A264" s="383"/>
      <c r="B264" s="394"/>
      <c r="C264" s="499" t="s">
        <v>75</v>
      </c>
      <c r="D264" s="394"/>
      <c r="E264" s="353"/>
      <c r="F264" s="383"/>
      <c r="G264" s="354"/>
    </row>
    <row r="265" spans="1:7">
      <c r="A265" s="383"/>
      <c r="B265" s="382" t="s">
        <v>18</v>
      </c>
      <c r="C265" s="440" t="s">
        <v>321</v>
      </c>
      <c r="D265" s="382" t="s">
        <v>12</v>
      </c>
      <c r="E265" s="341"/>
      <c r="F265" s="220" t="s">
        <v>13</v>
      </c>
      <c r="G265" s="340">
        <f>C265*E265</f>
        <v>0</v>
      </c>
    </row>
    <row r="266" spans="1:7">
      <c r="A266" s="383"/>
      <c r="B266" s="382"/>
      <c r="C266" s="440"/>
      <c r="D266" s="382"/>
      <c r="E266" s="341"/>
      <c r="F266" s="220"/>
      <c r="G266" s="340"/>
    </row>
    <row r="267" spans="1:7">
      <c r="A267" s="383"/>
      <c r="B267" s="382"/>
      <c r="C267" s="499" t="s">
        <v>74</v>
      </c>
      <c r="D267" s="382"/>
      <c r="E267" s="341"/>
      <c r="F267" s="220"/>
      <c r="G267" s="340"/>
    </row>
    <row r="268" spans="1:7">
      <c r="A268" s="383"/>
      <c r="B268" s="382" t="s">
        <v>18</v>
      </c>
      <c r="C268" s="440" t="s">
        <v>67</v>
      </c>
      <c r="D268" s="382" t="s">
        <v>12</v>
      </c>
      <c r="E268" s="341"/>
      <c r="F268" s="220" t="s">
        <v>13</v>
      </c>
      <c r="G268" s="340">
        <f>C268*E268</f>
        <v>0</v>
      </c>
    </row>
    <row r="269" spans="1:7">
      <c r="A269" s="383"/>
      <c r="B269" s="382"/>
      <c r="C269" s="440"/>
      <c r="D269" s="382"/>
      <c r="E269" s="341"/>
      <c r="F269" s="220"/>
      <c r="G269" s="340"/>
    </row>
    <row r="270" spans="1:7">
      <c r="A270" s="448"/>
      <c r="B270" s="449"/>
      <c r="C270" s="450"/>
      <c r="D270" s="449"/>
      <c r="E270" s="451"/>
      <c r="F270" s="449"/>
      <c r="G270" s="452"/>
    </row>
    <row r="271" spans="1:7" ht="45">
      <c r="A271" s="383" t="s">
        <v>16</v>
      </c>
      <c r="B271" s="400"/>
      <c r="C271" s="381" t="s">
        <v>192</v>
      </c>
      <c r="D271" s="380"/>
      <c r="E271" s="346"/>
      <c r="F271" s="380"/>
      <c r="G271" s="390"/>
    </row>
    <row r="272" spans="1:7" ht="45">
      <c r="A272" s="361"/>
      <c r="B272" s="382"/>
      <c r="C272" s="391" t="s">
        <v>24</v>
      </c>
      <c r="D272" s="382"/>
      <c r="E272" s="341"/>
      <c r="F272" s="220"/>
      <c r="G272" s="352"/>
    </row>
    <row r="273" spans="1:7" ht="30">
      <c r="A273" s="361"/>
      <c r="B273" s="394"/>
      <c r="C273" s="467" t="s">
        <v>193</v>
      </c>
      <c r="D273" s="394"/>
      <c r="E273" s="353"/>
      <c r="F273" s="383"/>
      <c r="G273" s="500"/>
    </row>
    <row r="274" spans="1:7">
      <c r="A274" s="361"/>
      <c r="B274" s="394"/>
      <c r="C274" s="467"/>
      <c r="D274" s="394"/>
      <c r="E274" s="353"/>
      <c r="F274" s="383"/>
      <c r="G274" s="500"/>
    </row>
    <row r="275" spans="1:7">
      <c r="A275" s="471"/>
      <c r="B275" s="472"/>
      <c r="C275" s="473" t="s">
        <v>167</v>
      </c>
      <c r="D275" s="471"/>
      <c r="E275" s="474"/>
      <c r="F275" s="471"/>
      <c r="G275" s="475"/>
    </row>
    <row r="276" spans="1:7">
      <c r="A276" s="471"/>
      <c r="B276" s="472"/>
      <c r="C276" s="473"/>
      <c r="D276" s="471"/>
      <c r="E276" s="474"/>
      <c r="F276" s="471"/>
      <c r="G276" s="475"/>
    </row>
    <row r="277" spans="1:7">
      <c r="A277" s="476"/>
      <c r="B277" s="477" t="s">
        <v>18</v>
      </c>
      <c r="C277" s="358" t="s">
        <v>296</v>
      </c>
      <c r="D277" s="211" t="s">
        <v>12</v>
      </c>
      <c r="E277" s="478"/>
      <c r="F277" s="479" t="s">
        <v>13</v>
      </c>
      <c r="G277" s="480">
        <f>C277*E277</f>
        <v>0</v>
      </c>
    </row>
    <row r="278" spans="1:7">
      <c r="A278" s="476"/>
      <c r="B278" s="477"/>
      <c r="C278" s="358"/>
      <c r="D278" s="211"/>
      <c r="E278" s="478"/>
      <c r="F278" s="479"/>
      <c r="G278" s="480"/>
    </row>
    <row r="279" spans="1:7">
      <c r="A279" s="448"/>
      <c r="B279" s="449"/>
      <c r="C279" s="450"/>
      <c r="D279" s="449"/>
      <c r="E279" s="451"/>
      <c r="F279" s="449"/>
      <c r="G279" s="452"/>
    </row>
    <row r="280" spans="1:7" ht="45">
      <c r="A280" s="332" t="s">
        <v>17</v>
      </c>
      <c r="B280" s="501"/>
      <c r="C280" s="391" t="s">
        <v>322</v>
      </c>
      <c r="D280" s="501"/>
      <c r="E280" s="346"/>
      <c r="F280" s="501"/>
      <c r="G280" s="348"/>
    </row>
    <row r="281" spans="1:7" ht="45">
      <c r="A281" s="502"/>
      <c r="B281" s="501"/>
      <c r="C281" s="391" t="s">
        <v>94</v>
      </c>
      <c r="D281" s="501"/>
      <c r="E281" s="346"/>
      <c r="F281" s="501"/>
      <c r="G281" s="348"/>
    </row>
    <row r="282" spans="1:7">
      <c r="A282" s="332"/>
      <c r="B282" s="503"/>
      <c r="C282" s="489" t="s">
        <v>93</v>
      </c>
      <c r="D282" s="337"/>
      <c r="E282" s="338"/>
      <c r="F282" s="339"/>
      <c r="G282" s="340"/>
    </row>
    <row r="283" spans="1:7">
      <c r="A283" s="332"/>
      <c r="B283" s="503"/>
      <c r="C283" s="489"/>
      <c r="D283" s="337"/>
      <c r="E283" s="338"/>
      <c r="F283" s="339"/>
      <c r="G283" s="340"/>
    </row>
    <row r="284" spans="1:7" ht="15.75">
      <c r="A284" s="425"/>
      <c r="B284" s="383" t="s">
        <v>241</v>
      </c>
      <c r="C284" s="402" t="s">
        <v>148</v>
      </c>
      <c r="D284" s="426"/>
      <c r="E284" s="427"/>
      <c r="F284" s="428"/>
      <c r="G284" s="429"/>
    </row>
    <row r="285" spans="1:7">
      <c r="A285" s="332"/>
      <c r="B285" s="317"/>
      <c r="C285" s="316" t="s">
        <v>259</v>
      </c>
      <c r="D285" s="333"/>
      <c r="E285" s="334"/>
      <c r="F285" s="317"/>
      <c r="G285" s="335"/>
    </row>
    <row r="286" spans="1:7">
      <c r="A286" s="342"/>
      <c r="B286" s="343" t="s">
        <v>11</v>
      </c>
      <c r="C286" s="344" t="s">
        <v>305</v>
      </c>
      <c r="D286" s="333"/>
      <c r="E286" s="334"/>
      <c r="F286" s="317"/>
      <c r="G286" s="335"/>
    </row>
    <row r="287" spans="1:7" ht="15.75">
      <c r="A287" s="425"/>
      <c r="B287" s="426"/>
      <c r="C287" s="316"/>
      <c r="D287" s="426"/>
      <c r="E287" s="427"/>
      <c r="F287" s="428"/>
      <c r="G287" s="429"/>
    </row>
    <row r="288" spans="1:7" ht="15.75">
      <c r="A288" s="430"/>
      <c r="B288" s="431" t="s">
        <v>11</v>
      </c>
      <c r="C288" s="350">
        <v>257</v>
      </c>
      <c r="D288" s="432" t="s">
        <v>12</v>
      </c>
      <c r="E288" s="433"/>
      <c r="F288" s="434" t="s">
        <v>13</v>
      </c>
      <c r="G288" s="435">
        <f>C288*E288</f>
        <v>0</v>
      </c>
    </row>
    <row r="289" spans="1:7">
      <c r="A289" s="332"/>
      <c r="B289" s="337"/>
      <c r="C289" s="357"/>
      <c r="D289" s="337"/>
      <c r="E289" s="338"/>
      <c r="F289" s="339"/>
      <c r="G289" s="340"/>
    </row>
    <row r="290" spans="1:7" ht="15.75">
      <c r="A290" s="425"/>
      <c r="B290" s="383" t="s">
        <v>242</v>
      </c>
      <c r="C290" s="402" t="s">
        <v>274</v>
      </c>
      <c r="D290" s="426"/>
      <c r="E290" s="427"/>
      <c r="F290" s="428"/>
      <c r="G290" s="429"/>
    </row>
    <row r="291" spans="1:7">
      <c r="A291" s="332"/>
      <c r="B291" s="317"/>
      <c r="C291" s="316" t="s">
        <v>151</v>
      </c>
      <c r="D291" s="333"/>
      <c r="E291" s="334"/>
      <c r="F291" s="317"/>
      <c r="G291" s="335"/>
    </row>
    <row r="292" spans="1:7">
      <c r="A292" s="342"/>
      <c r="B292" s="343" t="s">
        <v>11</v>
      </c>
      <c r="C292" s="344" t="s">
        <v>306</v>
      </c>
      <c r="D292" s="333"/>
      <c r="E292" s="334"/>
      <c r="F292" s="317"/>
      <c r="G292" s="335"/>
    </row>
    <row r="293" spans="1:7">
      <c r="A293" s="332"/>
      <c r="B293" s="317"/>
      <c r="C293" s="316" t="s">
        <v>152</v>
      </c>
      <c r="D293" s="333"/>
      <c r="E293" s="334"/>
      <c r="F293" s="317"/>
      <c r="G293" s="335"/>
    </row>
    <row r="294" spans="1:7">
      <c r="A294" s="342"/>
      <c r="B294" s="343" t="s">
        <v>11</v>
      </c>
      <c r="C294" s="436" t="s">
        <v>307</v>
      </c>
      <c r="D294" s="333"/>
      <c r="E294" s="334"/>
      <c r="F294" s="317"/>
      <c r="G294" s="335"/>
    </row>
    <row r="295" spans="1:7">
      <c r="A295" s="332"/>
      <c r="B295" s="317"/>
      <c r="C295" s="316" t="s">
        <v>243</v>
      </c>
      <c r="D295" s="333"/>
      <c r="E295" s="334"/>
      <c r="F295" s="317"/>
      <c r="G295" s="335"/>
    </row>
    <row r="296" spans="1:7">
      <c r="A296" s="342"/>
      <c r="B296" s="343" t="s">
        <v>11</v>
      </c>
      <c r="C296" s="436" t="s">
        <v>308</v>
      </c>
      <c r="D296" s="333"/>
      <c r="E296" s="334"/>
      <c r="F296" s="317"/>
      <c r="G296" s="335"/>
    </row>
    <row r="297" spans="1:7">
      <c r="A297" s="332"/>
      <c r="B297" s="317"/>
      <c r="C297" s="316" t="s">
        <v>265</v>
      </c>
      <c r="D297" s="333"/>
      <c r="E297" s="334"/>
      <c r="F297" s="317"/>
      <c r="G297" s="335"/>
    </row>
    <row r="298" spans="1:7">
      <c r="A298" s="342"/>
      <c r="B298" s="343" t="s">
        <v>11</v>
      </c>
      <c r="C298" s="436" t="s">
        <v>309</v>
      </c>
      <c r="D298" s="333"/>
      <c r="E298" s="334"/>
      <c r="F298" s="317"/>
      <c r="G298" s="335"/>
    </row>
    <row r="299" spans="1:7">
      <c r="A299" s="332"/>
      <c r="B299" s="317"/>
      <c r="C299" s="316" t="s">
        <v>244</v>
      </c>
      <c r="D299" s="333"/>
      <c r="E299" s="334"/>
      <c r="F299" s="317"/>
      <c r="G299" s="335"/>
    </row>
    <row r="300" spans="1:7">
      <c r="A300" s="342"/>
      <c r="B300" s="343" t="s">
        <v>11</v>
      </c>
      <c r="C300" s="344" t="s">
        <v>310</v>
      </c>
      <c r="D300" s="333"/>
      <c r="E300" s="334"/>
      <c r="F300" s="317"/>
      <c r="G300" s="335"/>
    </row>
    <row r="301" spans="1:7">
      <c r="A301" s="332"/>
      <c r="B301" s="317"/>
      <c r="C301" s="316" t="s">
        <v>258</v>
      </c>
      <c r="D301" s="333"/>
      <c r="E301" s="334"/>
      <c r="F301" s="317"/>
      <c r="G301" s="335"/>
    </row>
    <row r="302" spans="1:7">
      <c r="A302" s="342"/>
      <c r="B302" s="343" t="s">
        <v>11</v>
      </c>
      <c r="C302" s="436" t="s">
        <v>311</v>
      </c>
      <c r="D302" s="333"/>
      <c r="E302" s="334"/>
      <c r="F302" s="317"/>
      <c r="G302" s="335"/>
    </row>
    <row r="303" spans="1:7">
      <c r="A303" s="332"/>
      <c r="B303" s="317"/>
      <c r="C303" s="316" t="s">
        <v>245</v>
      </c>
      <c r="D303" s="333"/>
      <c r="E303" s="334"/>
      <c r="F303" s="317"/>
      <c r="G303" s="335"/>
    </row>
    <row r="304" spans="1:7">
      <c r="A304" s="342"/>
      <c r="B304" s="343" t="s">
        <v>11</v>
      </c>
      <c r="C304" s="436" t="s">
        <v>312</v>
      </c>
      <c r="D304" s="333"/>
      <c r="E304" s="334"/>
      <c r="F304" s="317"/>
      <c r="G304" s="335"/>
    </row>
    <row r="305" spans="1:7">
      <c r="A305" s="332"/>
      <c r="B305" s="317"/>
      <c r="C305" s="316" t="s">
        <v>259</v>
      </c>
      <c r="D305" s="333"/>
      <c r="E305" s="334"/>
      <c r="F305" s="317"/>
      <c r="G305" s="335"/>
    </row>
    <row r="306" spans="1:7">
      <c r="A306" s="342"/>
      <c r="B306" s="343" t="s">
        <v>11</v>
      </c>
      <c r="C306" s="436" t="s">
        <v>313</v>
      </c>
      <c r="D306" s="333"/>
      <c r="E306" s="334"/>
      <c r="F306" s="317"/>
      <c r="G306" s="335"/>
    </row>
    <row r="307" spans="1:7">
      <c r="A307" s="332"/>
      <c r="B307" s="317"/>
      <c r="C307" s="316" t="s">
        <v>266</v>
      </c>
      <c r="D307" s="333"/>
      <c r="E307" s="334"/>
      <c r="F307" s="317"/>
      <c r="G307" s="335"/>
    </row>
    <row r="308" spans="1:7">
      <c r="A308" s="342"/>
      <c r="B308" s="343" t="s">
        <v>11</v>
      </c>
      <c r="C308" s="436" t="s">
        <v>314</v>
      </c>
      <c r="D308" s="333"/>
      <c r="E308" s="334"/>
      <c r="F308" s="317"/>
      <c r="G308" s="335"/>
    </row>
    <row r="309" spans="1:7">
      <c r="A309" s="332"/>
      <c r="B309" s="317"/>
      <c r="C309" s="316" t="s">
        <v>267</v>
      </c>
      <c r="D309" s="333"/>
      <c r="E309" s="334"/>
      <c r="F309" s="317"/>
      <c r="G309" s="335"/>
    </row>
    <row r="310" spans="1:7">
      <c r="A310" s="342"/>
      <c r="B310" s="343" t="s">
        <v>11</v>
      </c>
      <c r="C310" s="344" t="s">
        <v>246</v>
      </c>
      <c r="D310" s="333"/>
      <c r="E310" s="334"/>
      <c r="F310" s="317"/>
      <c r="G310" s="335"/>
    </row>
    <row r="311" spans="1:7">
      <c r="A311" s="332"/>
      <c r="B311" s="317"/>
      <c r="C311" s="316" t="s">
        <v>260</v>
      </c>
      <c r="D311" s="333"/>
      <c r="E311" s="334"/>
      <c r="F311" s="317"/>
      <c r="G311" s="335"/>
    </row>
    <row r="312" spans="1:7">
      <c r="A312" s="342"/>
      <c r="B312" s="343" t="s">
        <v>11</v>
      </c>
      <c r="C312" s="436" t="s">
        <v>315</v>
      </c>
      <c r="D312" s="333"/>
      <c r="E312" s="334"/>
      <c r="F312" s="317"/>
      <c r="G312" s="335"/>
    </row>
    <row r="313" spans="1:7">
      <c r="A313" s="332"/>
      <c r="B313" s="317"/>
      <c r="C313" s="316" t="s">
        <v>261</v>
      </c>
      <c r="D313" s="333"/>
      <c r="E313" s="334"/>
      <c r="F313" s="317"/>
      <c r="G313" s="335"/>
    </row>
    <row r="314" spans="1:7">
      <c r="A314" s="342"/>
      <c r="B314" s="343" t="s">
        <v>11</v>
      </c>
      <c r="C314" s="436" t="s">
        <v>316</v>
      </c>
      <c r="D314" s="333"/>
      <c r="E314" s="334"/>
      <c r="F314" s="317"/>
      <c r="G314" s="335"/>
    </row>
    <row r="315" spans="1:7">
      <c r="A315" s="332"/>
      <c r="B315" s="317"/>
      <c r="C315" s="316" t="s">
        <v>268</v>
      </c>
      <c r="D315" s="333"/>
      <c r="E315" s="334"/>
      <c r="F315" s="317"/>
      <c r="G315" s="335"/>
    </row>
    <row r="316" spans="1:7">
      <c r="A316" s="342"/>
      <c r="B316" s="343" t="s">
        <v>11</v>
      </c>
      <c r="C316" s="436" t="s">
        <v>247</v>
      </c>
      <c r="D316" s="333"/>
      <c r="E316" s="334"/>
      <c r="F316" s="317"/>
      <c r="G316" s="335"/>
    </row>
    <row r="317" spans="1:7">
      <c r="A317" s="332"/>
      <c r="B317" s="317"/>
      <c r="C317" s="316" t="s">
        <v>269</v>
      </c>
      <c r="D317" s="333"/>
      <c r="E317" s="334"/>
      <c r="F317" s="317"/>
      <c r="G317" s="335"/>
    </row>
    <row r="318" spans="1:7">
      <c r="A318" s="342"/>
      <c r="B318" s="343" t="s">
        <v>11</v>
      </c>
      <c r="C318" s="436" t="s">
        <v>317</v>
      </c>
      <c r="D318" s="333"/>
      <c r="E318" s="334"/>
      <c r="F318" s="317"/>
      <c r="G318" s="335"/>
    </row>
    <row r="319" spans="1:7">
      <c r="A319" s="332"/>
      <c r="B319" s="317"/>
      <c r="C319" s="316" t="s">
        <v>262</v>
      </c>
      <c r="D319" s="333"/>
      <c r="E319" s="334"/>
      <c r="F319" s="317"/>
      <c r="G319" s="335"/>
    </row>
    <row r="320" spans="1:7">
      <c r="A320" s="342"/>
      <c r="B320" s="343" t="s">
        <v>11</v>
      </c>
      <c r="C320" s="344" t="s">
        <v>318</v>
      </c>
      <c r="D320" s="333"/>
      <c r="E320" s="334"/>
      <c r="F320" s="317"/>
      <c r="G320" s="335"/>
    </row>
    <row r="321" spans="1:7">
      <c r="A321" s="332"/>
      <c r="B321" s="317"/>
      <c r="C321" s="316" t="s">
        <v>270</v>
      </c>
      <c r="D321" s="333"/>
      <c r="E321" s="334"/>
      <c r="F321" s="317"/>
      <c r="G321" s="335"/>
    </row>
    <row r="322" spans="1:7">
      <c r="A322" s="342"/>
      <c r="B322" s="343" t="s">
        <v>11</v>
      </c>
      <c r="C322" s="436" t="s">
        <v>247</v>
      </c>
      <c r="D322" s="333"/>
      <c r="E322" s="334"/>
      <c r="F322" s="317"/>
      <c r="G322" s="335"/>
    </row>
    <row r="323" spans="1:7">
      <c r="A323" s="332"/>
      <c r="B323" s="317"/>
      <c r="C323" s="316" t="s">
        <v>271</v>
      </c>
      <c r="D323" s="333"/>
      <c r="E323" s="334"/>
      <c r="F323" s="317"/>
      <c r="G323" s="335"/>
    </row>
    <row r="324" spans="1:7">
      <c r="A324" s="342"/>
      <c r="B324" s="343" t="s">
        <v>11</v>
      </c>
      <c r="C324" s="436" t="s">
        <v>248</v>
      </c>
      <c r="D324" s="333"/>
      <c r="E324" s="334"/>
      <c r="F324" s="317"/>
      <c r="G324" s="335"/>
    </row>
    <row r="325" spans="1:7">
      <c r="A325" s="332"/>
      <c r="B325" s="317"/>
      <c r="C325" s="316" t="s">
        <v>263</v>
      </c>
      <c r="D325" s="333"/>
      <c r="E325" s="334"/>
      <c r="F325" s="317"/>
      <c r="G325" s="335"/>
    </row>
    <row r="326" spans="1:7">
      <c r="A326" s="342"/>
      <c r="B326" s="343" t="s">
        <v>11</v>
      </c>
      <c r="C326" s="436" t="s">
        <v>249</v>
      </c>
      <c r="D326" s="333"/>
      <c r="E326" s="334"/>
      <c r="F326" s="317"/>
      <c r="G326" s="335"/>
    </row>
    <row r="327" spans="1:7">
      <c r="A327" s="332"/>
      <c r="B327" s="317"/>
      <c r="C327" s="316" t="s">
        <v>272</v>
      </c>
      <c r="D327" s="333"/>
      <c r="E327" s="334"/>
      <c r="F327" s="317"/>
      <c r="G327" s="335"/>
    </row>
    <row r="328" spans="1:7">
      <c r="A328" s="342"/>
      <c r="B328" s="343" t="s">
        <v>11</v>
      </c>
      <c r="C328" s="436" t="s">
        <v>250</v>
      </c>
      <c r="D328" s="333"/>
      <c r="E328" s="334"/>
      <c r="F328" s="317"/>
      <c r="G328" s="335"/>
    </row>
    <row r="329" spans="1:7">
      <c r="A329" s="332"/>
      <c r="B329" s="317"/>
      <c r="C329" s="316" t="s">
        <v>264</v>
      </c>
      <c r="D329" s="333"/>
      <c r="E329" s="334"/>
      <c r="F329" s="317"/>
      <c r="G329" s="335"/>
    </row>
    <row r="330" spans="1:7">
      <c r="A330" s="342"/>
      <c r="B330" s="343" t="s">
        <v>11</v>
      </c>
      <c r="C330" s="436" t="s">
        <v>251</v>
      </c>
      <c r="D330" s="333"/>
      <c r="E330" s="334"/>
      <c r="F330" s="317"/>
      <c r="G330" s="335"/>
    </row>
    <row r="331" spans="1:7">
      <c r="A331" s="332"/>
      <c r="B331" s="317"/>
      <c r="C331" s="316" t="s">
        <v>273</v>
      </c>
      <c r="D331" s="333"/>
      <c r="E331" s="334"/>
      <c r="F331" s="317"/>
      <c r="G331" s="335"/>
    </row>
    <row r="332" spans="1:7">
      <c r="A332" s="342"/>
      <c r="B332" s="343" t="s">
        <v>11</v>
      </c>
      <c r="C332" s="437" t="s">
        <v>252</v>
      </c>
      <c r="D332" s="333"/>
      <c r="E332" s="334"/>
      <c r="F332" s="317"/>
      <c r="G332" s="335"/>
    </row>
    <row r="333" spans="1:7" ht="15.75">
      <c r="A333" s="430"/>
      <c r="B333" s="343"/>
      <c r="C333" s="436" t="s">
        <v>319</v>
      </c>
      <c r="D333" s="333"/>
      <c r="E333" s="438"/>
      <c r="F333" s="317"/>
      <c r="G333" s="439"/>
    </row>
    <row r="334" spans="1:7" ht="15.75">
      <c r="A334" s="425"/>
      <c r="B334" s="333"/>
      <c r="C334" s="316"/>
      <c r="D334" s="333"/>
      <c r="E334" s="353"/>
      <c r="F334" s="332"/>
      <c r="G334" s="354"/>
    </row>
    <row r="335" spans="1:7" ht="15.75">
      <c r="A335" s="430"/>
      <c r="B335" s="431" t="s">
        <v>11</v>
      </c>
      <c r="C335" s="350">
        <v>1993</v>
      </c>
      <c r="D335" s="432" t="s">
        <v>12</v>
      </c>
      <c r="E335" s="433"/>
      <c r="F335" s="434" t="s">
        <v>13</v>
      </c>
      <c r="G335" s="435">
        <f>C335*E335</f>
        <v>0</v>
      </c>
    </row>
    <row r="336" spans="1:7">
      <c r="A336" s="332"/>
      <c r="B336" s="337"/>
      <c r="C336" s="357"/>
      <c r="D336" s="337"/>
      <c r="E336" s="338"/>
      <c r="F336" s="339"/>
      <c r="G336" s="340"/>
    </row>
    <row r="337" spans="1:7">
      <c r="A337" s="332"/>
      <c r="B337" s="337"/>
      <c r="C337" s="357"/>
      <c r="D337" s="337"/>
      <c r="E337" s="338"/>
      <c r="F337" s="339"/>
      <c r="G337" s="340"/>
    </row>
    <row r="338" spans="1:7" ht="90">
      <c r="A338" s="332" t="s">
        <v>19</v>
      </c>
      <c r="B338" s="501"/>
      <c r="C338" s="388" t="s">
        <v>323</v>
      </c>
      <c r="D338" s="501"/>
      <c r="E338" s="346"/>
      <c r="F338" s="501"/>
      <c r="G338" s="348"/>
    </row>
    <row r="339" spans="1:7" ht="180">
      <c r="A339" s="502"/>
      <c r="B339" s="501"/>
      <c r="C339" s="388" t="s">
        <v>139</v>
      </c>
      <c r="D339" s="501"/>
      <c r="E339" s="346"/>
      <c r="F339" s="501"/>
      <c r="G339" s="348"/>
    </row>
    <row r="340" spans="1:7" ht="75">
      <c r="A340" s="502"/>
      <c r="B340" s="501"/>
      <c r="C340" s="388" t="s">
        <v>140</v>
      </c>
      <c r="D340" s="501"/>
      <c r="E340" s="346"/>
      <c r="F340" s="501"/>
      <c r="G340" s="348"/>
    </row>
    <row r="341" spans="1:7">
      <c r="A341" s="332"/>
      <c r="B341" s="503"/>
      <c r="C341" s="503" t="s">
        <v>55</v>
      </c>
      <c r="D341" s="337"/>
      <c r="E341" s="338"/>
      <c r="F341" s="339"/>
      <c r="G341" s="340"/>
    </row>
    <row r="342" spans="1:7">
      <c r="A342" s="332"/>
      <c r="B342" s="503"/>
      <c r="C342" s="503"/>
      <c r="D342" s="337"/>
      <c r="E342" s="338"/>
      <c r="F342" s="339"/>
      <c r="G342" s="340"/>
    </row>
    <row r="343" spans="1:7" ht="15.75">
      <c r="A343" s="425"/>
      <c r="B343" s="383" t="s">
        <v>194</v>
      </c>
      <c r="C343" s="402" t="s">
        <v>148</v>
      </c>
      <c r="D343" s="426"/>
      <c r="E343" s="427"/>
      <c r="F343" s="428"/>
      <c r="G343" s="429"/>
    </row>
    <row r="344" spans="1:7">
      <c r="A344" s="332"/>
      <c r="B344" s="317"/>
      <c r="C344" s="316" t="s">
        <v>259</v>
      </c>
      <c r="D344" s="333"/>
      <c r="E344" s="334"/>
      <c r="F344" s="317"/>
      <c r="G344" s="335"/>
    </row>
    <row r="345" spans="1:7">
      <c r="A345" s="342"/>
      <c r="B345" s="343" t="s">
        <v>11</v>
      </c>
      <c r="C345" s="344" t="s">
        <v>305</v>
      </c>
      <c r="D345" s="333"/>
      <c r="E345" s="334"/>
      <c r="F345" s="317"/>
      <c r="G345" s="335"/>
    </row>
    <row r="346" spans="1:7" ht="15.75">
      <c r="A346" s="425"/>
      <c r="B346" s="426"/>
      <c r="C346" s="316"/>
      <c r="D346" s="426"/>
      <c r="E346" s="427"/>
      <c r="F346" s="428"/>
      <c r="G346" s="429"/>
    </row>
    <row r="347" spans="1:7" ht="15.75">
      <c r="A347" s="430"/>
      <c r="B347" s="431" t="s">
        <v>11</v>
      </c>
      <c r="C347" s="350">
        <v>257</v>
      </c>
      <c r="D347" s="432" t="s">
        <v>12</v>
      </c>
      <c r="E347" s="433"/>
      <c r="F347" s="434" t="s">
        <v>13</v>
      </c>
      <c r="G347" s="435">
        <f>C347*E347</f>
        <v>0</v>
      </c>
    </row>
    <row r="348" spans="1:7">
      <c r="A348" s="332"/>
      <c r="B348" s="337"/>
      <c r="C348" s="357"/>
      <c r="D348" s="337"/>
      <c r="E348" s="338"/>
      <c r="F348" s="339"/>
      <c r="G348" s="340"/>
    </row>
    <row r="349" spans="1:7" ht="15.75">
      <c r="A349" s="425"/>
      <c r="B349" s="383" t="s">
        <v>195</v>
      </c>
      <c r="C349" s="402" t="s">
        <v>274</v>
      </c>
      <c r="D349" s="426"/>
      <c r="E349" s="427"/>
      <c r="F349" s="428"/>
      <c r="G349" s="429"/>
    </row>
    <row r="350" spans="1:7">
      <c r="A350" s="332"/>
      <c r="B350" s="317"/>
      <c r="C350" s="316" t="s">
        <v>151</v>
      </c>
      <c r="D350" s="333"/>
      <c r="E350" s="334"/>
      <c r="F350" s="317"/>
      <c r="G350" s="335"/>
    </row>
    <row r="351" spans="1:7">
      <c r="A351" s="342"/>
      <c r="B351" s="343" t="s">
        <v>11</v>
      </c>
      <c r="C351" s="344" t="s">
        <v>306</v>
      </c>
      <c r="D351" s="333"/>
      <c r="E351" s="334"/>
      <c r="F351" s="317"/>
      <c r="G351" s="335"/>
    </row>
    <row r="352" spans="1:7">
      <c r="A352" s="332"/>
      <c r="B352" s="317"/>
      <c r="C352" s="316" t="s">
        <v>152</v>
      </c>
      <c r="D352" s="333"/>
      <c r="E352" s="334"/>
      <c r="F352" s="317"/>
      <c r="G352" s="335"/>
    </row>
    <row r="353" spans="1:7">
      <c r="A353" s="342"/>
      <c r="B353" s="343" t="s">
        <v>11</v>
      </c>
      <c r="C353" s="436" t="s">
        <v>307</v>
      </c>
      <c r="D353" s="333"/>
      <c r="E353" s="334"/>
      <c r="F353" s="317"/>
      <c r="G353" s="335"/>
    </row>
    <row r="354" spans="1:7">
      <c r="A354" s="332"/>
      <c r="B354" s="317"/>
      <c r="C354" s="316" t="s">
        <v>243</v>
      </c>
      <c r="D354" s="333"/>
      <c r="E354" s="334"/>
      <c r="F354" s="317"/>
      <c r="G354" s="335"/>
    </row>
    <row r="355" spans="1:7">
      <c r="A355" s="342"/>
      <c r="B355" s="343" t="s">
        <v>11</v>
      </c>
      <c r="C355" s="436" t="s">
        <v>308</v>
      </c>
      <c r="D355" s="333"/>
      <c r="E355" s="334"/>
      <c r="F355" s="317"/>
      <c r="G355" s="335"/>
    </row>
    <row r="356" spans="1:7">
      <c r="A356" s="332"/>
      <c r="B356" s="317"/>
      <c r="C356" s="316" t="s">
        <v>265</v>
      </c>
      <c r="D356" s="333"/>
      <c r="E356" s="334"/>
      <c r="F356" s="317"/>
      <c r="G356" s="335"/>
    </row>
    <row r="357" spans="1:7">
      <c r="A357" s="342"/>
      <c r="B357" s="343" t="s">
        <v>11</v>
      </c>
      <c r="C357" s="436" t="s">
        <v>309</v>
      </c>
      <c r="D357" s="333"/>
      <c r="E357" s="334"/>
      <c r="F357" s="317"/>
      <c r="G357" s="335"/>
    </row>
    <row r="358" spans="1:7">
      <c r="A358" s="332"/>
      <c r="B358" s="317"/>
      <c r="C358" s="316" t="s">
        <v>244</v>
      </c>
      <c r="D358" s="333"/>
      <c r="E358" s="334"/>
      <c r="F358" s="317"/>
      <c r="G358" s="335"/>
    </row>
    <row r="359" spans="1:7">
      <c r="A359" s="342"/>
      <c r="B359" s="343" t="s">
        <v>11</v>
      </c>
      <c r="C359" s="344" t="s">
        <v>310</v>
      </c>
      <c r="D359" s="333"/>
      <c r="E359" s="334"/>
      <c r="F359" s="317"/>
      <c r="G359" s="335"/>
    </row>
    <row r="360" spans="1:7">
      <c r="A360" s="332"/>
      <c r="B360" s="317"/>
      <c r="C360" s="316" t="s">
        <v>258</v>
      </c>
      <c r="D360" s="333"/>
      <c r="E360" s="334"/>
      <c r="F360" s="317"/>
      <c r="G360" s="335"/>
    </row>
    <row r="361" spans="1:7">
      <c r="A361" s="342"/>
      <c r="B361" s="343" t="s">
        <v>11</v>
      </c>
      <c r="C361" s="436" t="s">
        <v>311</v>
      </c>
      <c r="D361" s="333"/>
      <c r="E361" s="334"/>
      <c r="F361" s="317"/>
      <c r="G361" s="335"/>
    </row>
    <row r="362" spans="1:7">
      <c r="A362" s="332"/>
      <c r="B362" s="317"/>
      <c r="C362" s="316" t="s">
        <v>245</v>
      </c>
      <c r="D362" s="333"/>
      <c r="E362" s="334"/>
      <c r="F362" s="317"/>
      <c r="G362" s="335"/>
    </row>
    <row r="363" spans="1:7">
      <c r="A363" s="342"/>
      <c r="B363" s="343" t="s">
        <v>11</v>
      </c>
      <c r="C363" s="436" t="s">
        <v>312</v>
      </c>
      <c r="D363" s="333"/>
      <c r="E363" s="334"/>
      <c r="F363" s="317"/>
      <c r="G363" s="335"/>
    </row>
    <row r="364" spans="1:7">
      <c r="A364" s="332"/>
      <c r="B364" s="317"/>
      <c r="C364" s="316" t="s">
        <v>259</v>
      </c>
      <c r="D364" s="333"/>
      <c r="E364" s="334"/>
      <c r="F364" s="317"/>
      <c r="G364" s="335"/>
    </row>
    <row r="365" spans="1:7">
      <c r="A365" s="342"/>
      <c r="B365" s="343" t="s">
        <v>11</v>
      </c>
      <c r="C365" s="436" t="s">
        <v>313</v>
      </c>
      <c r="D365" s="333"/>
      <c r="E365" s="334"/>
      <c r="F365" s="317"/>
      <c r="G365" s="335"/>
    </row>
    <row r="366" spans="1:7">
      <c r="A366" s="332"/>
      <c r="B366" s="317"/>
      <c r="C366" s="316" t="s">
        <v>266</v>
      </c>
      <c r="D366" s="333"/>
      <c r="E366" s="334"/>
      <c r="F366" s="317"/>
      <c r="G366" s="335"/>
    </row>
    <row r="367" spans="1:7">
      <c r="A367" s="342"/>
      <c r="B367" s="343" t="s">
        <v>11</v>
      </c>
      <c r="C367" s="436" t="s">
        <v>314</v>
      </c>
      <c r="D367" s="333"/>
      <c r="E367" s="334"/>
      <c r="F367" s="317"/>
      <c r="G367" s="335"/>
    </row>
    <row r="368" spans="1:7">
      <c r="A368" s="332"/>
      <c r="B368" s="317"/>
      <c r="C368" s="316" t="s">
        <v>267</v>
      </c>
      <c r="D368" s="333"/>
      <c r="E368" s="334"/>
      <c r="F368" s="317"/>
      <c r="G368" s="335"/>
    </row>
    <row r="369" spans="1:7">
      <c r="A369" s="342"/>
      <c r="B369" s="343" t="s">
        <v>11</v>
      </c>
      <c r="C369" s="344" t="s">
        <v>246</v>
      </c>
      <c r="D369" s="333"/>
      <c r="E369" s="334"/>
      <c r="F369" s="317"/>
      <c r="G369" s="335"/>
    </row>
    <row r="370" spans="1:7">
      <c r="A370" s="332"/>
      <c r="B370" s="317"/>
      <c r="C370" s="316" t="s">
        <v>260</v>
      </c>
      <c r="D370" s="333"/>
      <c r="E370" s="334"/>
      <c r="F370" s="317"/>
      <c r="G370" s="335"/>
    </row>
    <row r="371" spans="1:7">
      <c r="A371" s="342"/>
      <c r="B371" s="343" t="s">
        <v>11</v>
      </c>
      <c r="C371" s="436" t="s">
        <v>315</v>
      </c>
      <c r="D371" s="333"/>
      <c r="E371" s="334"/>
      <c r="F371" s="317"/>
      <c r="G371" s="335"/>
    </row>
    <row r="372" spans="1:7">
      <c r="A372" s="332"/>
      <c r="B372" s="317"/>
      <c r="C372" s="316" t="s">
        <v>261</v>
      </c>
      <c r="D372" s="333"/>
      <c r="E372" s="334"/>
      <c r="F372" s="317"/>
      <c r="G372" s="335"/>
    </row>
    <row r="373" spans="1:7">
      <c r="A373" s="342"/>
      <c r="B373" s="343" t="s">
        <v>11</v>
      </c>
      <c r="C373" s="436" t="s">
        <v>316</v>
      </c>
      <c r="D373" s="333"/>
      <c r="E373" s="334"/>
      <c r="F373" s="317"/>
      <c r="G373" s="335"/>
    </row>
    <row r="374" spans="1:7">
      <c r="A374" s="332"/>
      <c r="B374" s="317"/>
      <c r="C374" s="316" t="s">
        <v>268</v>
      </c>
      <c r="D374" s="333"/>
      <c r="E374" s="334"/>
      <c r="F374" s="317"/>
      <c r="G374" s="335"/>
    </row>
    <row r="375" spans="1:7">
      <c r="A375" s="342"/>
      <c r="B375" s="343" t="s">
        <v>11</v>
      </c>
      <c r="C375" s="436" t="s">
        <v>247</v>
      </c>
      <c r="D375" s="333"/>
      <c r="E375" s="334"/>
      <c r="F375" s="317"/>
      <c r="G375" s="335"/>
    </row>
    <row r="376" spans="1:7">
      <c r="A376" s="332"/>
      <c r="B376" s="317"/>
      <c r="C376" s="316" t="s">
        <v>269</v>
      </c>
      <c r="D376" s="333"/>
      <c r="E376" s="334"/>
      <c r="F376" s="317"/>
      <c r="G376" s="335"/>
    </row>
    <row r="377" spans="1:7">
      <c r="A377" s="342"/>
      <c r="B377" s="343" t="s">
        <v>11</v>
      </c>
      <c r="C377" s="436" t="s">
        <v>317</v>
      </c>
      <c r="D377" s="333"/>
      <c r="E377" s="334"/>
      <c r="F377" s="317"/>
      <c r="G377" s="335"/>
    </row>
    <row r="378" spans="1:7">
      <c r="A378" s="332"/>
      <c r="B378" s="317"/>
      <c r="C378" s="316" t="s">
        <v>262</v>
      </c>
      <c r="D378" s="333"/>
      <c r="E378" s="334"/>
      <c r="F378" s="317"/>
      <c r="G378" s="335"/>
    </row>
    <row r="379" spans="1:7">
      <c r="A379" s="342"/>
      <c r="B379" s="343" t="s">
        <v>11</v>
      </c>
      <c r="C379" s="344" t="s">
        <v>318</v>
      </c>
      <c r="D379" s="333"/>
      <c r="E379" s="334"/>
      <c r="F379" s="317"/>
      <c r="G379" s="335"/>
    </row>
    <row r="380" spans="1:7">
      <c r="A380" s="332"/>
      <c r="B380" s="317"/>
      <c r="C380" s="316" t="s">
        <v>270</v>
      </c>
      <c r="D380" s="333"/>
      <c r="E380" s="334"/>
      <c r="F380" s="317"/>
      <c r="G380" s="335"/>
    </row>
    <row r="381" spans="1:7">
      <c r="A381" s="342"/>
      <c r="B381" s="343" t="s">
        <v>11</v>
      </c>
      <c r="C381" s="436" t="s">
        <v>247</v>
      </c>
      <c r="D381" s="333"/>
      <c r="E381" s="334"/>
      <c r="F381" s="317"/>
      <c r="G381" s="335"/>
    </row>
    <row r="382" spans="1:7">
      <c r="A382" s="332"/>
      <c r="B382" s="317"/>
      <c r="C382" s="316" t="s">
        <v>271</v>
      </c>
      <c r="D382" s="333"/>
      <c r="E382" s="334"/>
      <c r="F382" s="317"/>
      <c r="G382" s="335"/>
    </row>
    <row r="383" spans="1:7">
      <c r="A383" s="342"/>
      <c r="B383" s="343" t="s">
        <v>11</v>
      </c>
      <c r="C383" s="436" t="s">
        <v>248</v>
      </c>
      <c r="D383" s="333"/>
      <c r="E383" s="334"/>
      <c r="F383" s="317"/>
      <c r="G383" s="335"/>
    </row>
    <row r="384" spans="1:7">
      <c r="A384" s="332"/>
      <c r="B384" s="317"/>
      <c r="C384" s="316" t="s">
        <v>263</v>
      </c>
      <c r="D384" s="333"/>
      <c r="E384" s="334"/>
      <c r="F384" s="317"/>
      <c r="G384" s="335"/>
    </row>
    <row r="385" spans="1:7">
      <c r="A385" s="342"/>
      <c r="B385" s="343" t="s">
        <v>11</v>
      </c>
      <c r="C385" s="436" t="s">
        <v>249</v>
      </c>
      <c r="D385" s="333"/>
      <c r="E385" s="334"/>
      <c r="F385" s="317"/>
      <c r="G385" s="335"/>
    </row>
    <row r="386" spans="1:7">
      <c r="A386" s="332"/>
      <c r="B386" s="317"/>
      <c r="C386" s="316" t="s">
        <v>272</v>
      </c>
      <c r="D386" s="333"/>
      <c r="E386" s="334"/>
      <c r="F386" s="317"/>
      <c r="G386" s="335"/>
    </row>
    <row r="387" spans="1:7">
      <c r="A387" s="342"/>
      <c r="B387" s="343" t="s">
        <v>11</v>
      </c>
      <c r="C387" s="436" t="s">
        <v>250</v>
      </c>
      <c r="D387" s="333"/>
      <c r="E387" s="334"/>
      <c r="F387" s="317"/>
      <c r="G387" s="335"/>
    </row>
    <row r="388" spans="1:7">
      <c r="A388" s="332"/>
      <c r="B388" s="317"/>
      <c r="C388" s="316" t="s">
        <v>264</v>
      </c>
      <c r="D388" s="333"/>
      <c r="E388" s="334"/>
      <c r="F388" s="317"/>
      <c r="G388" s="335"/>
    </row>
    <row r="389" spans="1:7">
      <c r="A389" s="342"/>
      <c r="B389" s="343" t="s">
        <v>11</v>
      </c>
      <c r="C389" s="436" t="s">
        <v>251</v>
      </c>
      <c r="D389" s="333"/>
      <c r="E389" s="334"/>
      <c r="F389" s="317"/>
      <c r="G389" s="335"/>
    </row>
    <row r="390" spans="1:7">
      <c r="A390" s="332"/>
      <c r="B390" s="317"/>
      <c r="C390" s="316" t="s">
        <v>273</v>
      </c>
      <c r="D390" s="333"/>
      <c r="E390" s="334"/>
      <c r="F390" s="317"/>
      <c r="G390" s="335"/>
    </row>
    <row r="391" spans="1:7">
      <c r="A391" s="342"/>
      <c r="B391" s="343" t="s">
        <v>11</v>
      </c>
      <c r="C391" s="437" t="s">
        <v>252</v>
      </c>
      <c r="D391" s="333"/>
      <c r="E391" s="334"/>
      <c r="F391" s="317"/>
      <c r="G391" s="335"/>
    </row>
    <row r="392" spans="1:7" ht="15.75">
      <c r="A392" s="430"/>
      <c r="B392" s="343"/>
      <c r="C392" s="436" t="s">
        <v>319</v>
      </c>
      <c r="D392" s="333"/>
      <c r="E392" s="438"/>
      <c r="F392" s="317"/>
      <c r="G392" s="439"/>
    </row>
    <row r="393" spans="1:7" ht="15.75">
      <c r="A393" s="425"/>
      <c r="B393" s="333"/>
      <c r="C393" s="316"/>
      <c r="D393" s="333"/>
      <c r="E393" s="353"/>
      <c r="F393" s="332"/>
      <c r="G393" s="354"/>
    </row>
    <row r="394" spans="1:7" ht="15.75">
      <c r="A394" s="430"/>
      <c r="B394" s="431" t="s">
        <v>11</v>
      </c>
      <c r="C394" s="350">
        <v>1993</v>
      </c>
      <c r="D394" s="432" t="s">
        <v>12</v>
      </c>
      <c r="E394" s="433"/>
      <c r="F394" s="434" t="s">
        <v>13</v>
      </c>
      <c r="G394" s="435">
        <f>C394*E394</f>
        <v>0</v>
      </c>
    </row>
    <row r="395" spans="1:7">
      <c r="A395" s="342"/>
      <c r="B395" s="343"/>
      <c r="C395" s="344"/>
      <c r="D395" s="345"/>
      <c r="E395" s="346"/>
      <c r="F395" s="347"/>
      <c r="G395" s="348"/>
    </row>
    <row r="396" spans="1:7">
      <c r="A396" s="404"/>
      <c r="B396" s="405"/>
      <c r="C396" s="406"/>
      <c r="D396" s="405"/>
      <c r="E396" s="407"/>
      <c r="F396" s="405"/>
      <c r="G396" s="408"/>
    </row>
    <row r="397" spans="1:7" ht="15.75">
      <c r="A397" s="397"/>
      <c r="B397" s="399"/>
      <c r="C397" s="398"/>
      <c r="D397" s="399"/>
      <c r="E397" s="403"/>
      <c r="F397" s="396"/>
      <c r="G397" s="386"/>
    </row>
    <row r="398" spans="1:7" ht="31.5">
      <c r="A398" s="490" t="s">
        <v>82</v>
      </c>
      <c r="B398" s="409"/>
      <c r="C398" s="491" t="s">
        <v>85</v>
      </c>
      <c r="D398" s="320"/>
      <c r="E398" s="410"/>
      <c r="F398" s="411" t="s">
        <v>13</v>
      </c>
      <c r="G398" s="412">
        <f>SUM(G257:G342)</f>
        <v>0</v>
      </c>
    </row>
    <row r="399" spans="1:7" ht="15.75">
      <c r="A399" s="413"/>
      <c r="B399" s="414"/>
      <c r="C399" s="415"/>
      <c r="D399" s="414"/>
      <c r="E399" s="416"/>
      <c r="F399" s="417"/>
      <c r="G399" s="418"/>
    </row>
    <row r="400" spans="1:7">
      <c r="A400" s="342"/>
      <c r="B400" s="343"/>
      <c r="C400" s="350"/>
      <c r="D400" s="345"/>
      <c r="E400" s="346"/>
      <c r="F400" s="347"/>
      <c r="G400" s="348"/>
    </row>
    <row r="401" spans="1:7" ht="47.25">
      <c r="A401" s="336" t="s">
        <v>32</v>
      </c>
      <c r="B401" s="329"/>
      <c r="C401" s="504" t="s">
        <v>41</v>
      </c>
      <c r="D401" s="329"/>
      <c r="E401" s="375"/>
      <c r="F401" s="373"/>
      <c r="G401" s="377"/>
    </row>
    <row r="402" spans="1:7">
      <c r="A402" s="336"/>
      <c r="B402" s="329"/>
      <c r="C402" s="423"/>
      <c r="D402" s="329"/>
      <c r="E402" s="375"/>
      <c r="F402" s="373"/>
      <c r="G402" s="377"/>
    </row>
    <row r="403" spans="1:7" ht="28.5">
      <c r="A403" s="332" t="s">
        <v>10</v>
      </c>
      <c r="B403" s="333"/>
      <c r="C403" s="505" t="s">
        <v>42</v>
      </c>
      <c r="D403" s="333"/>
      <c r="E403" s="353"/>
      <c r="F403" s="332"/>
      <c r="G403" s="354"/>
    </row>
    <row r="404" spans="1:7" ht="75">
      <c r="A404" s="332"/>
      <c r="B404" s="333"/>
      <c r="C404" s="391" t="s">
        <v>125</v>
      </c>
      <c r="D404" s="333"/>
      <c r="E404" s="353"/>
      <c r="F404" s="332"/>
      <c r="G404" s="354"/>
    </row>
    <row r="405" spans="1:7" ht="45">
      <c r="A405" s="332"/>
      <c r="B405" s="337"/>
      <c r="C405" s="316" t="s">
        <v>43</v>
      </c>
      <c r="D405" s="337"/>
      <c r="E405" s="338"/>
      <c r="F405" s="339"/>
      <c r="G405" s="340"/>
    </row>
    <row r="406" spans="1:7">
      <c r="A406" s="332"/>
      <c r="B406" s="337"/>
      <c r="C406" s="316" t="s">
        <v>44</v>
      </c>
      <c r="D406" s="337"/>
      <c r="E406" s="338"/>
      <c r="F406" s="339"/>
      <c r="G406" s="340"/>
    </row>
    <row r="407" spans="1:7">
      <c r="A407" s="332"/>
      <c r="B407" s="337"/>
      <c r="C407" s="316"/>
      <c r="D407" s="337"/>
      <c r="E407" s="338"/>
      <c r="F407" s="339"/>
      <c r="G407" s="340"/>
    </row>
    <row r="408" spans="1:7">
      <c r="A408" s="332"/>
      <c r="B408" s="337" t="s">
        <v>8</v>
      </c>
      <c r="C408" s="506" t="s">
        <v>7</v>
      </c>
      <c r="D408" s="337"/>
      <c r="E408" s="338"/>
      <c r="F408" s="339"/>
      <c r="G408" s="340"/>
    </row>
    <row r="409" spans="1:7" ht="33">
      <c r="A409" s="466"/>
      <c r="B409" s="319"/>
      <c r="C409" s="507" t="s">
        <v>131</v>
      </c>
      <c r="D409" s="319"/>
      <c r="E409" s="395"/>
      <c r="F409" s="220"/>
      <c r="G409" s="352"/>
    </row>
    <row r="410" spans="1:7" ht="18">
      <c r="A410" s="332"/>
      <c r="B410" s="337"/>
      <c r="C410" s="506" t="s">
        <v>130</v>
      </c>
      <c r="D410" s="337"/>
      <c r="E410" s="338"/>
      <c r="F410" s="339"/>
      <c r="G410" s="340"/>
    </row>
    <row r="411" spans="1:7" ht="18">
      <c r="A411" s="332"/>
      <c r="B411" s="337"/>
      <c r="C411" s="506" t="s">
        <v>324</v>
      </c>
      <c r="D411" s="337"/>
      <c r="E411" s="338"/>
      <c r="F411" s="339"/>
      <c r="G411" s="340"/>
    </row>
    <row r="412" spans="1:7" ht="18">
      <c r="A412" s="332"/>
      <c r="B412" s="337"/>
      <c r="C412" s="506" t="s">
        <v>325</v>
      </c>
      <c r="D412" s="337"/>
      <c r="E412" s="338"/>
      <c r="F412" s="339"/>
      <c r="G412" s="340"/>
    </row>
    <row r="413" spans="1:7" ht="18">
      <c r="A413" s="332"/>
      <c r="B413" s="337"/>
      <c r="C413" s="506" t="s">
        <v>132</v>
      </c>
      <c r="D413" s="337"/>
      <c r="E413" s="338"/>
      <c r="F413" s="339"/>
      <c r="G413" s="340"/>
    </row>
    <row r="414" spans="1:7" ht="30">
      <c r="A414" s="332"/>
      <c r="B414" s="337"/>
      <c r="C414" s="357" t="s">
        <v>31</v>
      </c>
      <c r="D414" s="337"/>
      <c r="E414" s="338"/>
      <c r="F414" s="339"/>
      <c r="G414" s="340"/>
    </row>
    <row r="415" spans="1:7">
      <c r="A415" s="332"/>
      <c r="B415" s="337"/>
      <c r="C415" s="357"/>
      <c r="D415" s="337"/>
      <c r="E415" s="338"/>
      <c r="F415" s="339"/>
      <c r="G415" s="340"/>
    </row>
    <row r="416" spans="1:7">
      <c r="A416" s="332"/>
      <c r="B416" s="337" t="s">
        <v>18</v>
      </c>
      <c r="C416" s="358" t="s">
        <v>326</v>
      </c>
      <c r="D416" s="337" t="s">
        <v>12</v>
      </c>
      <c r="E416" s="338">
        <v>0</v>
      </c>
      <c r="F416" s="339" t="s">
        <v>13</v>
      </c>
      <c r="G416" s="340">
        <f>C416*E416</f>
        <v>0</v>
      </c>
    </row>
    <row r="417" spans="1:7">
      <c r="A417" s="332"/>
      <c r="B417" s="337"/>
      <c r="C417" s="358"/>
      <c r="D417" s="337"/>
      <c r="E417" s="338"/>
      <c r="F417" s="339"/>
      <c r="G417" s="340"/>
    </row>
    <row r="418" spans="1:7">
      <c r="A418" s="332"/>
      <c r="B418" s="337" t="s">
        <v>22</v>
      </c>
      <c r="C418" s="506" t="s">
        <v>100</v>
      </c>
      <c r="D418" s="337"/>
      <c r="E418" s="338"/>
      <c r="F418" s="339"/>
      <c r="G418" s="340"/>
    </row>
    <row r="419" spans="1:7" ht="33">
      <c r="A419" s="466"/>
      <c r="B419" s="319"/>
      <c r="C419" s="507" t="s">
        <v>133</v>
      </c>
      <c r="D419" s="319"/>
      <c r="E419" s="395"/>
      <c r="F419" s="220"/>
      <c r="G419" s="352"/>
    </row>
    <row r="420" spans="1:7" ht="18">
      <c r="A420" s="332"/>
      <c r="B420" s="337"/>
      <c r="C420" s="506" t="s">
        <v>134</v>
      </c>
      <c r="D420" s="337"/>
      <c r="E420" s="338"/>
      <c r="F420" s="339"/>
      <c r="G420" s="340"/>
    </row>
    <row r="421" spans="1:7" ht="18">
      <c r="A421" s="332"/>
      <c r="B421" s="337"/>
      <c r="C421" s="506" t="s">
        <v>327</v>
      </c>
      <c r="D421" s="337"/>
      <c r="E421" s="338"/>
      <c r="F421" s="339"/>
      <c r="G421" s="340"/>
    </row>
    <row r="422" spans="1:7" ht="18">
      <c r="A422" s="332"/>
      <c r="B422" s="337"/>
      <c r="C422" s="506" t="s">
        <v>328</v>
      </c>
      <c r="D422" s="337"/>
      <c r="E422" s="338"/>
      <c r="F422" s="339"/>
      <c r="G422" s="340"/>
    </row>
    <row r="423" spans="1:7" ht="18">
      <c r="A423" s="332"/>
      <c r="B423" s="337"/>
      <c r="C423" s="506" t="s">
        <v>135</v>
      </c>
      <c r="D423" s="337"/>
      <c r="E423" s="338"/>
      <c r="F423" s="339"/>
      <c r="G423" s="340"/>
    </row>
    <row r="424" spans="1:7" ht="30">
      <c r="A424" s="332"/>
      <c r="B424" s="337"/>
      <c r="C424" s="357" t="s">
        <v>31</v>
      </c>
      <c r="D424" s="337"/>
      <c r="E424" s="338"/>
      <c r="F424" s="339"/>
      <c r="G424" s="340"/>
    </row>
    <row r="425" spans="1:7">
      <c r="A425" s="332"/>
      <c r="B425" s="337"/>
      <c r="C425" s="357"/>
      <c r="D425" s="337"/>
      <c r="E425" s="338"/>
      <c r="F425" s="339"/>
      <c r="G425" s="340"/>
    </row>
    <row r="426" spans="1:7">
      <c r="A426" s="332"/>
      <c r="B426" s="337" t="s">
        <v>18</v>
      </c>
      <c r="C426" s="358" t="s">
        <v>159</v>
      </c>
      <c r="D426" s="337" t="s">
        <v>12</v>
      </c>
      <c r="E426" s="338">
        <v>0</v>
      </c>
      <c r="F426" s="339" t="s">
        <v>13</v>
      </c>
      <c r="G426" s="340">
        <f>C426*E426</f>
        <v>0</v>
      </c>
    </row>
    <row r="427" spans="1:7">
      <c r="A427" s="332"/>
      <c r="B427" s="337"/>
      <c r="C427" s="316"/>
      <c r="D427" s="337"/>
      <c r="E427" s="338"/>
      <c r="F427" s="339"/>
      <c r="G427" s="340"/>
    </row>
    <row r="428" spans="1:7">
      <c r="A428" s="332"/>
      <c r="B428" s="337" t="s">
        <v>26</v>
      </c>
      <c r="C428" s="506" t="s">
        <v>329</v>
      </c>
      <c r="D428" s="337"/>
      <c r="E428" s="338"/>
      <c r="F428" s="339"/>
      <c r="G428" s="340"/>
    </row>
    <row r="429" spans="1:7" ht="18">
      <c r="A429" s="332"/>
      <c r="B429" s="337"/>
      <c r="C429" s="506" t="s">
        <v>330</v>
      </c>
      <c r="D429" s="337"/>
      <c r="E429" s="338"/>
      <c r="F429" s="339"/>
      <c r="G429" s="340"/>
    </row>
    <row r="430" spans="1:7" ht="18">
      <c r="A430" s="332"/>
      <c r="B430" s="337"/>
      <c r="C430" s="506" t="s">
        <v>331</v>
      </c>
      <c r="D430" s="337"/>
      <c r="E430" s="338"/>
      <c r="F430" s="339"/>
      <c r="G430" s="340"/>
    </row>
    <row r="431" spans="1:7" ht="18">
      <c r="A431" s="332"/>
      <c r="B431" s="337"/>
      <c r="C431" s="506" t="s">
        <v>332</v>
      </c>
      <c r="D431" s="337"/>
      <c r="E431" s="338"/>
      <c r="F431" s="339"/>
      <c r="G431" s="340"/>
    </row>
    <row r="432" spans="1:7" ht="18">
      <c r="A432" s="332"/>
      <c r="B432" s="337"/>
      <c r="C432" s="506" t="s">
        <v>333</v>
      </c>
      <c r="D432" s="337"/>
      <c r="E432" s="338"/>
      <c r="F432" s="339"/>
      <c r="G432" s="340"/>
    </row>
    <row r="433" spans="1:7" ht="30">
      <c r="A433" s="332"/>
      <c r="B433" s="337"/>
      <c r="C433" s="357" t="s">
        <v>31</v>
      </c>
      <c r="D433" s="337"/>
      <c r="E433" s="338"/>
      <c r="F433" s="339"/>
      <c r="G433" s="340"/>
    </row>
    <row r="434" spans="1:7">
      <c r="A434" s="332"/>
      <c r="B434" s="337"/>
      <c r="C434" s="357"/>
      <c r="D434" s="337"/>
      <c r="E434" s="338"/>
      <c r="F434" s="339"/>
      <c r="G434" s="340"/>
    </row>
    <row r="435" spans="1:7">
      <c r="A435" s="332"/>
      <c r="B435" s="337" t="s">
        <v>18</v>
      </c>
      <c r="C435" s="358" t="s">
        <v>67</v>
      </c>
      <c r="D435" s="337" t="s">
        <v>12</v>
      </c>
      <c r="E435" s="338">
        <v>0</v>
      </c>
      <c r="F435" s="339" t="s">
        <v>13</v>
      </c>
      <c r="G435" s="340">
        <f>C435*E435</f>
        <v>0</v>
      </c>
    </row>
    <row r="436" spans="1:7">
      <c r="A436" s="332"/>
      <c r="B436" s="337"/>
      <c r="C436" s="358"/>
      <c r="D436" s="337"/>
      <c r="E436" s="338"/>
      <c r="F436" s="339"/>
      <c r="G436" s="340"/>
    </row>
    <row r="437" spans="1:7">
      <c r="A437" s="332"/>
      <c r="B437" s="337"/>
      <c r="C437" s="358"/>
      <c r="D437" s="337"/>
      <c r="E437" s="338"/>
      <c r="F437" s="339"/>
      <c r="G437" s="340"/>
    </row>
    <row r="438" spans="1:7">
      <c r="A438" s="332"/>
      <c r="B438" s="337"/>
      <c r="C438" s="358"/>
      <c r="D438" s="337"/>
      <c r="E438" s="338"/>
      <c r="F438" s="339"/>
      <c r="G438" s="340"/>
    </row>
    <row r="439" spans="1:7">
      <c r="A439" s="332"/>
      <c r="B439" s="337"/>
      <c r="C439" s="358"/>
      <c r="D439" s="337"/>
      <c r="E439" s="338"/>
      <c r="F439" s="339"/>
      <c r="G439" s="340"/>
    </row>
    <row r="440" spans="1:7" ht="28.5">
      <c r="A440" s="332" t="s">
        <v>14</v>
      </c>
      <c r="B440" s="337"/>
      <c r="C440" s="508" t="s">
        <v>56</v>
      </c>
      <c r="D440" s="337"/>
      <c r="E440" s="338"/>
      <c r="F440" s="339"/>
      <c r="G440" s="340"/>
    </row>
    <row r="441" spans="1:7" ht="60">
      <c r="A441" s="332"/>
      <c r="B441" s="337"/>
      <c r="C441" s="487" t="s">
        <v>126</v>
      </c>
      <c r="D441" s="337"/>
      <c r="E441" s="338"/>
      <c r="F441" s="339"/>
      <c r="G441" s="340"/>
    </row>
    <row r="442" spans="1:7" ht="45">
      <c r="A442" s="332"/>
      <c r="B442" s="337"/>
      <c r="C442" s="316" t="s">
        <v>47</v>
      </c>
      <c r="D442" s="337"/>
      <c r="E442" s="338"/>
      <c r="F442" s="339"/>
      <c r="G442" s="340"/>
    </row>
    <row r="443" spans="1:7" ht="30">
      <c r="A443" s="332"/>
      <c r="B443" s="337"/>
      <c r="C443" s="316" t="s">
        <v>48</v>
      </c>
      <c r="D443" s="337"/>
      <c r="E443" s="338"/>
      <c r="F443" s="339"/>
      <c r="G443" s="340"/>
    </row>
    <row r="444" spans="1:7">
      <c r="A444" s="332"/>
      <c r="B444" s="337"/>
      <c r="C444" s="316"/>
      <c r="D444" s="337"/>
      <c r="E444" s="338"/>
      <c r="F444" s="339"/>
      <c r="G444" s="340"/>
    </row>
    <row r="445" spans="1:7">
      <c r="A445" s="361"/>
      <c r="B445" s="359" t="s">
        <v>8</v>
      </c>
      <c r="C445" s="509" t="s">
        <v>7</v>
      </c>
      <c r="D445" s="319"/>
      <c r="E445" s="352"/>
      <c r="F445" s="220"/>
      <c r="G445" s="352"/>
    </row>
    <row r="446" spans="1:7" ht="30">
      <c r="A446" s="361"/>
      <c r="B446" s="319"/>
      <c r="C446" s="507" t="s">
        <v>127</v>
      </c>
      <c r="D446" s="319"/>
      <c r="E446" s="352"/>
      <c r="F446" s="220"/>
      <c r="G446" s="352"/>
    </row>
    <row r="447" spans="1:7" ht="30">
      <c r="A447" s="361"/>
      <c r="B447" s="319"/>
      <c r="C447" s="507" t="s">
        <v>95</v>
      </c>
      <c r="D447" s="319"/>
      <c r="E447" s="352"/>
      <c r="F447" s="220"/>
      <c r="G447" s="352"/>
    </row>
    <row r="448" spans="1:7" ht="30">
      <c r="A448" s="361"/>
      <c r="B448" s="319"/>
      <c r="C448" s="507" t="s">
        <v>128</v>
      </c>
      <c r="D448" s="319"/>
      <c r="E448" s="352"/>
      <c r="F448" s="220"/>
      <c r="G448" s="352"/>
    </row>
    <row r="449" spans="1:7" ht="30">
      <c r="A449" s="361"/>
      <c r="B449" s="359"/>
      <c r="C449" s="510" t="s">
        <v>334</v>
      </c>
      <c r="D449" s="359"/>
      <c r="E449" s="384"/>
      <c r="F449" s="360"/>
      <c r="G449" s="352"/>
    </row>
    <row r="450" spans="1:7" ht="30">
      <c r="A450" s="361"/>
      <c r="B450" s="359"/>
      <c r="C450" s="509" t="s">
        <v>335</v>
      </c>
      <c r="D450" s="359"/>
      <c r="E450" s="384"/>
      <c r="F450" s="360"/>
      <c r="G450" s="352"/>
    </row>
    <row r="451" spans="1:7">
      <c r="A451" s="361"/>
      <c r="B451" s="319"/>
      <c r="C451" s="507" t="s">
        <v>129</v>
      </c>
      <c r="D451" s="319"/>
      <c r="E451" s="352"/>
      <c r="F451" s="220"/>
      <c r="G451" s="352"/>
    </row>
    <row r="452" spans="1:7">
      <c r="A452" s="361"/>
      <c r="B452" s="319"/>
      <c r="C452" s="391" t="s">
        <v>109</v>
      </c>
      <c r="D452" s="319"/>
      <c r="E452" s="352"/>
      <c r="F452" s="220"/>
      <c r="G452" s="352"/>
    </row>
    <row r="453" spans="1:7">
      <c r="A453" s="332"/>
      <c r="B453" s="337"/>
      <c r="C453" s="357"/>
      <c r="D453" s="337"/>
      <c r="E453" s="338"/>
      <c r="F453" s="339"/>
      <c r="G453" s="340"/>
    </row>
    <row r="454" spans="1:7">
      <c r="A454" s="332"/>
      <c r="B454" s="337" t="s">
        <v>18</v>
      </c>
      <c r="C454" s="358" t="s">
        <v>326</v>
      </c>
      <c r="D454" s="337" t="s">
        <v>12</v>
      </c>
      <c r="E454" s="338">
        <v>0</v>
      </c>
      <c r="F454" s="339" t="s">
        <v>13</v>
      </c>
      <c r="G454" s="340">
        <f>C454*E454</f>
        <v>0</v>
      </c>
    </row>
    <row r="455" spans="1:7">
      <c r="A455" s="332"/>
      <c r="B455" s="337"/>
      <c r="C455" s="358"/>
      <c r="D455" s="337"/>
      <c r="E455" s="338"/>
      <c r="F455" s="339"/>
      <c r="G455" s="340"/>
    </row>
    <row r="456" spans="1:7">
      <c r="A456" s="361"/>
      <c r="B456" s="359" t="s">
        <v>22</v>
      </c>
      <c r="C456" s="509" t="s">
        <v>100</v>
      </c>
      <c r="D456" s="319"/>
      <c r="E456" s="352"/>
      <c r="F456" s="220"/>
      <c r="G456" s="352"/>
    </row>
    <row r="457" spans="1:7" ht="30">
      <c r="A457" s="361"/>
      <c r="B457" s="319"/>
      <c r="C457" s="507" t="s">
        <v>127</v>
      </c>
      <c r="D457" s="319"/>
      <c r="E457" s="352"/>
      <c r="F457" s="220"/>
      <c r="G457" s="352"/>
    </row>
    <row r="458" spans="1:7" ht="30">
      <c r="A458" s="361"/>
      <c r="B458" s="319"/>
      <c r="C458" s="507" t="s">
        <v>95</v>
      </c>
      <c r="D458" s="319"/>
      <c r="E458" s="352"/>
      <c r="F458" s="220"/>
      <c r="G458" s="352"/>
    </row>
    <row r="459" spans="1:7" ht="30">
      <c r="A459" s="361"/>
      <c r="B459" s="319"/>
      <c r="C459" s="507" t="s">
        <v>128</v>
      </c>
      <c r="D459" s="319"/>
      <c r="E459" s="352"/>
      <c r="F459" s="220"/>
      <c r="G459" s="352"/>
    </row>
    <row r="460" spans="1:7" ht="30">
      <c r="A460" s="361"/>
      <c r="B460" s="359"/>
      <c r="C460" s="510" t="s">
        <v>334</v>
      </c>
      <c r="D460" s="359"/>
      <c r="E460" s="384"/>
      <c r="F460" s="360"/>
      <c r="G460" s="352"/>
    </row>
    <row r="461" spans="1:7" ht="30">
      <c r="A461" s="361"/>
      <c r="B461" s="359"/>
      <c r="C461" s="509" t="s">
        <v>335</v>
      </c>
      <c r="D461" s="359"/>
      <c r="E461" s="384"/>
      <c r="F461" s="360"/>
      <c r="G461" s="352"/>
    </row>
    <row r="462" spans="1:7">
      <c r="A462" s="361"/>
      <c r="B462" s="319"/>
      <c r="C462" s="507" t="s">
        <v>129</v>
      </c>
      <c r="D462" s="319"/>
      <c r="E462" s="352"/>
      <c r="F462" s="220"/>
      <c r="G462" s="352"/>
    </row>
    <row r="463" spans="1:7">
      <c r="A463" s="361"/>
      <c r="B463" s="319"/>
      <c r="C463" s="391" t="s">
        <v>109</v>
      </c>
      <c r="D463" s="319"/>
      <c r="E463" s="352"/>
      <c r="F463" s="220"/>
      <c r="G463" s="352"/>
    </row>
    <row r="464" spans="1:7">
      <c r="A464" s="332"/>
      <c r="B464" s="337"/>
      <c r="C464" s="357"/>
      <c r="D464" s="337"/>
      <c r="E464" s="338"/>
      <c r="F464" s="339"/>
      <c r="G464" s="340"/>
    </row>
    <row r="465" spans="1:7">
      <c r="A465" s="332"/>
      <c r="B465" s="337" t="s">
        <v>18</v>
      </c>
      <c r="C465" s="358" t="s">
        <v>159</v>
      </c>
      <c r="D465" s="337" t="s">
        <v>12</v>
      </c>
      <c r="E465" s="338">
        <v>0</v>
      </c>
      <c r="F465" s="339" t="s">
        <v>13</v>
      </c>
      <c r="G465" s="340">
        <f>C465*E465</f>
        <v>0</v>
      </c>
    </row>
    <row r="466" spans="1:7">
      <c r="A466" s="332"/>
      <c r="B466" s="337"/>
      <c r="C466" s="316"/>
      <c r="D466" s="337"/>
      <c r="E466" s="338"/>
      <c r="F466" s="339"/>
      <c r="G466" s="340"/>
    </row>
    <row r="467" spans="1:7">
      <c r="A467" s="361"/>
      <c r="B467" s="359" t="s">
        <v>26</v>
      </c>
      <c r="C467" s="509" t="s">
        <v>329</v>
      </c>
      <c r="D467" s="319"/>
      <c r="E467" s="352"/>
      <c r="F467" s="220"/>
      <c r="G467" s="352"/>
    </row>
    <row r="468" spans="1:7" ht="30">
      <c r="A468" s="361"/>
      <c r="B468" s="319"/>
      <c r="C468" s="507" t="s">
        <v>127</v>
      </c>
      <c r="D468" s="319"/>
      <c r="E468" s="352"/>
      <c r="F468" s="220"/>
      <c r="G468" s="352"/>
    </row>
    <row r="469" spans="1:7" ht="30">
      <c r="A469" s="361"/>
      <c r="B469" s="319"/>
      <c r="C469" s="507" t="s">
        <v>95</v>
      </c>
      <c r="D469" s="319"/>
      <c r="E469" s="352"/>
      <c r="F469" s="220"/>
      <c r="G469" s="352"/>
    </row>
    <row r="470" spans="1:7" ht="30">
      <c r="A470" s="361"/>
      <c r="B470" s="319"/>
      <c r="C470" s="507" t="s">
        <v>128</v>
      </c>
      <c r="D470" s="319"/>
      <c r="E470" s="352"/>
      <c r="F470" s="220"/>
      <c r="G470" s="352"/>
    </row>
    <row r="471" spans="1:7" ht="30">
      <c r="A471" s="361"/>
      <c r="B471" s="359"/>
      <c r="C471" s="510" t="s">
        <v>334</v>
      </c>
      <c r="D471" s="359"/>
      <c r="E471" s="384"/>
      <c r="F471" s="360"/>
      <c r="G471" s="352"/>
    </row>
    <row r="472" spans="1:7" ht="30">
      <c r="A472" s="361"/>
      <c r="B472" s="359"/>
      <c r="C472" s="509" t="s">
        <v>335</v>
      </c>
      <c r="D472" s="359"/>
      <c r="E472" s="384"/>
      <c r="F472" s="360"/>
      <c r="G472" s="352"/>
    </row>
    <row r="473" spans="1:7">
      <c r="A473" s="361"/>
      <c r="B473" s="319"/>
      <c r="C473" s="507" t="s">
        <v>129</v>
      </c>
      <c r="D473" s="319"/>
      <c r="E473" s="352"/>
      <c r="F473" s="220"/>
      <c r="G473" s="352"/>
    </row>
    <row r="474" spans="1:7">
      <c r="A474" s="361"/>
      <c r="B474" s="319"/>
      <c r="C474" s="391" t="s">
        <v>109</v>
      </c>
      <c r="D474" s="319"/>
      <c r="E474" s="352"/>
      <c r="F474" s="220"/>
      <c r="G474" s="352"/>
    </row>
    <row r="475" spans="1:7">
      <c r="A475" s="332"/>
      <c r="B475" s="337"/>
      <c r="C475" s="357"/>
      <c r="D475" s="337"/>
      <c r="E475" s="338"/>
      <c r="F475" s="339"/>
      <c r="G475" s="340"/>
    </row>
    <row r="476" spans="1:7">
      <c r="A476" s="332"/>
      <c r="B476" s="337" t="s">
        <v>18</v>
      </c>
      <c r="C476" s="358" t="s">
        <v>67</v>
      </c>
      <c r="D476" s="337" t="s">
        <v>12</v>
      </c>
      <c r="E476" s="338">
        <v>0</v>
      </c>
      <c r="F476" s="339" t="s">
        <v>13</v>
      </c>
      <c r="G476" s="340">
        <f>C476*E476</f>
        <v>0</v>
      </c>
    </row>
    <row r="477" spans="1:7">
      <c r="A477" s="404"/>
      <c r="B477" s="405"/>
      <c r="C477" s="406"/>
      <c r="D477" s="405"/>
      <c r="E477" s="407"/>
      <c r="F477" s="405"/>
      <c r="G477" s="408"/>
    </row>
    <row r="478" spans="1:7">
      <c r="A478" s="332"/>
      <c r="B478" s="337"/>
      <c r="C478" s="357"/>
      <c r="D478" s="337"/>
      <c r="E478" s="338"/>
      <c r="F478" s="339"/>
      <c r="G478" s="340"/>
    </row>
    <row r="479" spans="1:7" ht="47.25">
      <c r="A479" s="336" t="s">
        <v>32</v>
      </c>
      <c r="B479" s="423"/>
      <c r="C479" s="504" t="s">
        <v>45</v>
      </c>
      <c r="D479" s="329"/>
      <c r="E479" s="375"/>
      <c r="F479" s="373" t="s">
        <v>13</v>
      </c>
      <c r="G479" s="377">
        <f>SUM(G414:G466)</f>
        <v>0</v>
      </c>
    </row>
    <row r="480" spans="1:7">
      <c r="A480" s="378"/>
      <c r="B480" s="511"/>
      <c r="C480" s="512"/>
      <c r="D480" s="511"/>
      <c r="E480" s="513"/>
      <c r="F480" s="514"/>
      <c r="G480" s="515"/>
    </row>
    <row r="481" spans="1:7">
      <c r="A481" s="355"/>
      <c r="B481" s="356"/>
      <c r="C481" s="371"/>
      <c r="D481" s="356"/>
      <c r="E481" s="338"/>
      <c r="F481" s="372"/>
      <c r="G481" s="340"/>
    </row>
    <row r="482" spans="1:7">
      <c r="A482" s="516" t="s">
        <v>3</v>
      </c>
      <c r="B482" s="374"/>
      <c r="C482" s="517" t="s">
        <v>33</v>
      </c>
      <c r="D482" s="374"/>
      <c r="E482" s="375"/>
      <c r="F482" s="376"/>
      <c r="G482" s="377"/>
    </row>
    <row r="483" spans="1:7">
      <c r="A483" s="336"/>
      <c r="B483" s="329"/>
      <c r="C483" s="423"/>
      <c r="D483" s="329"/>
      <c r="E483" s="375"/>
      <c r="F483" s="373"/>
      <c r="G483" s="377"/>
    </row>
    <row r="484" spans="1:7" ht="255">
      <c r="A484" s="518" t="s">
        <v>10</v>
      </c>
      <c r="B484" s="387"/>
      <c r="C484" s="519" t="s">
        <v>141</v>
      </c>
      <c r="D484" s="394"/>
      <c r="E484" s="520"/>
      <c r="F484" s="383"/>
      <c r="G484" s="521"/>
    </row>
    <row r="485" spans="1:7">
      <c r="A485" s="518"/>
      <c r="B485" s="387"/>
      <c r="C485" s="391" t="s">
        <v>34</v>
      </c>
      <c r="D485" s="394"/>
      <c r="E485" s="520"/>
      <c r="F485" s="383"/>
      <c r="G485" s="521"/>
    </row>
    <row r="486" spans="1:7">
      <c r="A486" s="518"/>
      <c r="B486" s="319"/>
      <c r="C486" s="393"/>
      <c r="D486" s="319"/>
      <c r="E486" s="338"/>
      <c r="F486" s="220"/>
      <c r="G486" s="352"/>
    </row>
    <row r="487" spans="1:7">
      <c r="A487" s="518"/>
      <c r="B487" s="220" t="s">
        <v>15</v>
      </c>
      <c r="C487" s="219">
        <v>4</v>
      </c>
      <c r="D487" s="319" t="s">
        <v>12</v>
      </c>
      <c r="E487" s="338">
        <v>0</v>
      </c>
      <c r="F487" s="220" t="s">
        <v>13</v>
      </c>
      <c r="G487" s="352">
        <f>C487*E487</f>
        <v>0</v>
      </c>
    </row>
    <row r="488" spans="1:7">
      <c r="A488" s="518"/>
      <c r="B488" s="220"/>
      <c r="C488" s="219"/>
      <c r="D488" s="319"/>
      <c r="E488" s="338"/>
      <c r="F488" s="220"/>
      <c r="G488" s="352"/>
    </row>
    <row r="489" spans="1:7">
      <c r="A489" s="332"/>
      <c r="B489" s="337"/>
      <c r="C489" s="357"/>
      <c r="D489" s="337"/>
      <c r="E489" s="338"/>
      <c r="F489" s="339"/>
      <c r="G489" s="340"/>
    </row>
    <row r="490" spans="1:7" ht="210">
      <c r="A490" s="518" t="s">
        <v>14</v>
      </c>
      <c r="B490" s="387"/>
      <c r="C490" s="519" t="s">
        <v>142</v>
      </c>
      <c r="D490" s="394"/>
      <c r="E490" s="520"/>
      <c r="F490" s="383"/>
      <c r="G490" s="521"/>
    </row>
    <row r="491" spans="1:7">
      <c r="A491" s="518"/>
      <c r="B491" s="387"/>
      <c r="C491" s="391" t="s">
        <v>34</v>
      </c>
      <c r="D491" s="394"/>
      <c r="E491" s="520"/>
      <c r="F491" s="383"/>
      <c r="G491" s="521"/>
    </row>
    <row r="492" spans="1:7">
      <c r="A492" s="336"/>
      <c r="B492" s="329"/>
      <c r="C492" s="423"/>
      <c r="D492" s="329"/>
      <c r="E492" s="375"/>
      <c r="F492" s="373"/>
      <c r="G492" s="377"/>
    </row>
    <row r="493" spans="1:7">
      <c r="A493" s="518"/>
      <c r="B493" s="220" t="s">
        <v>15</v>
      </c>
      <c r="C493" s="522">
        <v>2</v>
      </c>
      <c r="D493" s="319" t="s">
        <v>12</v>
      </c>
      <c r="E493" s="338">
        <v>0</v>
      </c>
      <c r="F493" s="220" t="s">
        <v>13</v>
      </c>
      <c r="G493" s="352">
        <f>C493*E493</f>
        <v>0</v>
      </c>
    </row>
    <row r="494" spans="1:7">
      <c r="A494" s="332"/>
      <c r="B494" s="337"/>
      <c r="C494" s="357"/>
      <c r="D494" s="337"/>
      <c r="E494" s="338"/>
      <c r="F494" s="339"/>
      <c r="G494" s="340"/>
    </row>
    <row r="495" spans="1:7" ht="165">
      <c r="A495" s="332" t="s">
        <v>16</v>
      </c>
      <c r="B495" s="333"/>
      <c r="C495" s="316" t="s">
        <v>57</v>
      </c>
      <c r="D495" s="333"/>
      <c r="E495" s="353"/>
      <c r="F495" s="332"/>
      <c r="G495" s="354"/>
    </row>
    <row r="496" spans="1:7" ht="45">
      <c r="A496" s="332"/>
      <c r="B496" s="333"/>
      <c r="C496" s="316" t="s">
        <v>24</v>
      </c>
      <c r="D496" s="333"/>
      <c r="E496" s="353"/>
      <c r="F496" s="332"/>
      <c r="G496" s="354"/>
    </row>
    <row r="497" spans="1:7">
      <c r="A497" s="332"/>
      <c r="B497" s="333"/>
      <c r="C497" s="316" t="s">
        <v>34</v>
      </c>
      <c r="D497" s="333"/>
      <c r="E497" s="353"/>
      <c r="F497" s="332"/>
      <c r="G497" s="354"/>
    </row>
    <row r="498" spans="1:7">
      <c r="A498" s="332"/>
      <c r="B498" s="337"/>
      <c r="C498" s="357"/>
      <c r="D498" s="337"/>
      <c r="E498" s="338"/>
      <c r="F498" s="339"/>
      <c r="G498" s="340"/>
    </row>
    <row r="499" spans="1:7">
      <c r="A499" s="332"/>
      <c r="B499" s="339" t="s">
        <v>15</v>
      </c>
      <c r="C499" s="351">
        <v>5</v>
      </c>
      <c r="D499" s="337" t="s">
        <v>12</v>
      </c>
      <c r="E499" s="338">
        <v>0</v>
      </c>
      <c r="F499" s="339" t="s">
        <v>13</v>
      </c>
      <c r="G499" s="340">
        <f>C499*E499</f>
        <v>0</v>
      </c>
    </row>
    <row r="500" spans="1:7">
      <c r="A500" s="332"/>
      <c r="B500" s="339"/>
      <c r="C500" s="351"/>
      <c r="D500" s="337"/>
      <c r="E500" s="338"/>
      <c r="F500" s="339"/>
      <c r="G500" s="340"/>
    </row>
    <row r="501" spans="1:7">
      <c r="A501" s="332"/>
      <c r="B501" s="337"/>
      <c r="C501" s="357"/>
      <c r="D501" s="337"/>
      <c r="E501" s="338"/>
      <c r="F501" s="339"/>
      <c r="G501" s="340"/>
    </row>
    <row r="502" spans="1:7" ht="60">
      <c r="A502" s="332" t="s">
        <v>17</v>
      </c>
      <c r="B502" s="337"/>
      <c r="C502" s="316" t="s">
        <v>336</v>
      </c>
      <c r="D502" s="337"/>
      <c r="E502" s="338"/>
      <c r="F502" s="339"/>
      <c r="G502" s="340"/>
    </row>
    <row r="503" spans="1:7" ht="45">
      <c r="A503" s="332"/>
      <c r="B503" s="337"/>
      <c r="C503" s="316" t="s">
        <v>337</v>
      </c>
      <c r="D503" s="337"/>
      <c r="E503" s="338"/>
      <c r="F503" s="339"/>
      <c r="G503" s="340"/>
    </row>
    <row r="504" spans="1:7" ht="33">
      <c r="A504" s="332"/>
      <c r="B504" s="337"/>
      <c r="C504" s="316" t="s">
        <v>338</v>
      </c>
      <c r="D504" s="337"/>
      <c r="E504" s="338"/>
      <c r="F504" s="339"/>
      <c r="G504" s="340"/>
    </row>
    <row r="505" spans="1:7" ht="60">
      <c r="A505" s="332"/>
      <c r="B505" s="337"/>
      <c r="C505" s="316" t="s">
        <v>339</v>
      </c>
      <c r="D505" s="337"/>
      <c r="E505" s="338"/>
      <c r="F505" s="339"/>
      <c r="G505" s="340"/>
    </row>
    <row r="506" spans="1:7" ht="45">
      <c r="A506" s="332"/>
      <c r="B506" s="333"/>
      <c r="C506" s="316" t="s">
        <v>24</v>
      </c>
      <c r="D506" s="333"/>
      <c r="E506" s="353"/>
      <c r="F506" s="332"/>
      <c r="G506" s="354"/>
    </row>
    <row r="507" spans="1:7" ht="45">
      <c r="A507" s="332"/>
      <c r="B507" s="337"/>
      <c r="C507" s="316" t="s">
        <v>340</v>
      </c>
      <c r="D507" s="337"/>
      <c r="E507" s="338"/>
      <c r="F507" s="339"/>
      <c r="G507" s="340"/>
    </row>
    <row r="508" spans="1:7">
      <c r="A508" s="332"/>
      <c r="B508" s="337"/>
      <c r="C508" s="316"/>
      <c r="D508" s="337"/>
      <c r="E508" s="338"/>
      <c r="F508" s="339"/>
      <c r="G508" s="340"/>
    </row>
    <row r="509" spans="1:7">
      <c r="A509" s="342"/>
      <c r="B509" s="343" t="s">
        <v>11</v>
      </c>
      <c r="C509" s="350">
        <v>100</v>
      </c>
      <c r="D509" s="345" t="s">
        <v>12</v>
      </c>
      <c r="E509" s="346"/>
      <c r="F509" s="347" t="s">
        <v>13</v>
      </c>
      <c r="G509" s="348">
        <f>C509*E509</f>
        <v>0</v>
      </c>
    </row>
    <row r="510" spans="1:7">
      <c r="A510" s="342"/>
      <c r="B510" s="343"/>
      <c r="C510" s="350"/>
      <c r="D510" s="345"/>
      <c r="E510" s="346"/>
      <c r="F510" s="347"/>
      <c r="G510" s="348"/>
    </row>
    <row r="511" spans="1:7">
      <c r="A511" s="332"/>
      <c r="B511" s="337"/>
      <c r="C511" s="357"/>
      <c r="D511" s="337"/>
      <c r="E511" s="338"/>
      <c r="F511" s="339"/>
      <c r="G511" s="340"/>
    </row>
    <row r="512" spans="1:7" ht="45">
      <c r="A512" s="332" t="s">
        <v>19</v>
      </c>
      <c r="B512" s="333"/>
      <c r="C512" s="316" t="s">
        <v>35</v>
      </c>
      <c r="D512" s="333"/>
      <c r="E512" s="353"/>
      <c r="F512" s="332"/>
      <c r="G512" s="354"/>
    </row>
    <row r="513" spans="1:7" ht="45">
      <c r="A513" s="332"/>
      <c r="B513" s="333"/>
      <c r="C513" s="316" t="s">
        <v>36</v>
      </c>
      <c r="D513" s="333"/>
      <c r="E513" s="353"/>
      <c r="F513" s="332"/>
      <c r="G513" s="354"/>
    </row>
    <row r="514" spans="1:7">
      <c r="A514" s="332"/>
      <c r="B514" s="333"/>
      <c r="C514" s="316" t="s">
        <v>37</v>
      </c>
      <c r="D514" s="333"/>
      <c r="E514" s="353"/>
      <c r="F514" s="332"/>
      <c r="G514" s="354"/>
    </row>
    <row r="515" spans="1:7">
      <c r="A515" s="332"/>
      <c r="B515" s="333"/>
      <c r="C515" s="316"/>
      <c r="D515" s="333"/>
      <c r="E515" s="353"/>
      <c r="F515" s="332"/>
      <c r="G515" s="354"/>
    </row>
    <row r="516" spans="1:7">
      <c r="A516" s="342"/>
      <c r="B516" s="343" t="s">
        <v>11</v>
      </c>
      <c r="C516" s="349">
        <v>2250</v>
      </c>
      <c r="D516" s="345" t="s">
        <v>12</v>
      </c>
      <c r="E516" s="346"/>
      <c r="F516" s="347" t="s">
        <v>13</v>
      </c>
      <c r="G516" s="348">
        <f>C516*E516</f>
        <v>0</v>
      </c>
    </row>
    <row r="517" spans="1:7">
      <c r="A517" s="342"/>
      <c r="B517" s="343"/>
      <c r="C517" s="349"/>
      <c r="D517" s="345"/>
      <c r="E517" s="346"/>
      <c r="F517" s="347"/>
      <c r="G517" s="348"/>
    </row>
    <row r="518" spans="1:7">
      <c r="A518" s="332"/>
      <c r="B518" s="337"/>
      <c r="C518" s="357"/>
      <c r="D518" s="337"/>
      <c r="E518" s="338"/>
      <c r="F518" s="339"/>
      <c r="G518" s="340"/>
    </row>
    <row r="519" spans="1:7" ht="75">
      <c r="A519" s="332" t="s">
        <v>20</v>
      </c>
      <c r="B519" s="333"/>
      <c r="C519" s="330" t="s">
        <v>54</v>
      </c>
      <c r="D519" s="333"/>
      <c r="E519" s="353"/>
      <c r="F519" s="332"/>
      <c r="G519" s="354"/>
    </row>
    <row r="520" spans="1:7" ht="90">
      <c r="A520" s="332"/>
      <c r="B520" s="333"/>
      <c r="C520" s="330" t="s">
        <v>52</v>
      </c>
      <c r="D520" s="333"/>
      <c r="E520" s="353"/>
      <c r="F520" s="332"/>
      <c r="G520" s="354"/>
    </row>
    <row r="521" spans="1:7" ht="45">
      <c r="A521" s="332"/>
      <c r="B521" s="333"/>
      <c r="C521" s="316" t="s">
        <v>50</v>
      </c>
      <c r="D521" s="333"/>
      <c r="E521" s="353"/>
      <c r="F521" s="332"/>
      <c r="G521" s="354"/>
    </row>
    <row r="522" spans="1:7" ht="30">
      <c r="A522" s="332"/>
      <c r="B522" s="333"/>
      <c r="C522" s="343" t="s">
        <v>51</v>
      </c>
      <c r="D522" s="333"/>
      <c r="E522" s="353"/>
      <c r="F522" s="332"/>
      <c r="G522" s="354"/>
    </row>
    <row r="523" spans="1:7">
      <c r="A523" s="332"/>
      <c r="B523" s="333"/>
      <c r="C523" s="316" t="s">
        <v>53</v>
      </c>
      <c r="D523" s="333"/>
      <c r="E523" s="353"/>
      <c r="F523" s="332"/>
      <c r="G523" s="354"/>
    </row>
    <row r="524" spans="1:7">
      <c r="A524" s="332"/>
      <c r="B524" s="333"/>
      <c r="C524" s="316"/>
      <c r="D524" s="333"/>
      <c r="E524" s="353"/>
      <c r="F524" s="332"/>
      <c r="G524" s="354"/>
    </row>
    <row r="525" spans="1:7">
      <c r="A525" s="342"/>
      <c r="B525" s="343" t="s">
        <v>11</v>
      </c>
      <c r="C525" s="349">
        <v>2250</v>
      </c>
      <c r="D525" s="345" t="s">
        <v>12</v>
      </c>
      <c r="E525" s="346"/>
      <c r="F525" s="347" t="s">
        <v>13</v>
      </c>
      <c r="G525" s="348">
        <f>C525*E525</f>
        <v>0</v>
      </c>
    </row>
    <row r="526" spans="1:7" ht="90">
      <c r="A526" s="332" t="s">
        <v>21</v>
      </c>
      <c r="B526" s="388"/>
      <c r="C526" s="523" t="s">
        <v>91</v>
      </c>
      <c r="D526" s="389"/>
      <c r="E526" s="390"/>
      <c r="F526" s="380"/>
      <c r="G526" s="390"/>
    </row>
    <row r="527" spans="1:7">
      <c r="A527" s="401"/>
      <c r="B527" s="388"/>
      <c r="C527" s="392"/>
      <c r="D527" s="389"/>
      <c r="E527" s="390"/>
      <c r="F527" s="380"/>
      <c r="G527" s="390"/>
    </row>
    <row r="528" spans="1:7">
      <c r="A528" s="383"/>
      <c r="B528" s="220" t="s">
        <v>15</v>
      </c>
      <c r="C528" s="350">
        <v>1</v>
      </c>
      <c r="D528" s="319" t="s">
        <v>12</v>
      </c>
      <c r="E528" s="385">
        <v>0</v>
      </c>
      <c r="F528" s="220" t="s">
        <v>13</v>
      </c>
      <c r="G528" s="385">
        <f>C528*E528</f>
        <v>0</v>
      </c>
    </row>
    <row r="529" spans="1:7">
      <c r="A529" s="383"/>
      <c r="B529" s="220"/>
      <c r="C529" s="350"/>
      <c r="D529" s="319"/>
      <c r="E529" s="385"/>
      <c r="F529" s="220"/>
      <c r="G529" s="385"/>
    </row>
    <row r="530" spans="1:7">
      <c r="A530" s="332"/>
      <c r="B530" s="337"/>
      <c r="C530" s="357"/>
      <c r="D530" s="337"/>
      <c r="E530" s="338"/>
      <c r="F530" s="339"/>
      <c r="G530" s="340"/>
    </row>
    <row r="531" spans="1:7" ht="90">
      <c r="A531" s="332" t="s">
        <v>25</v>
      </c>
      <c r="B531" s="382"/>
      <c r="C531" s="524" t="s">
        <v>92</v>
      </c>
      <c r="D531" s="382"/>
      <c r="E531" s="390"/>
      <c r="F531" s="525"/>
      <c r="G531" s="390"/>
    </row>
    <row r="532" spans="1:7" ht="15.75">
      <c r="A532" s="526"/>
      <c r="B532" s="380"/>
      <c r="C532" s="388" t="s">
        <v>93</v>
      </c>
      <c r="D532" s="382"/>
      <c r="E532" s="527"/>
      <c r="F532" s="380"/>
      <c r="G532" s="390"/>
    </row>
    <row r="533" spans="1:7" ht="15.75">
      <c r="A533" s="526"/>
      <c r="B533" s="380"/>
      <c r="C533" s="388"/>
      <c r="D533" s="382"/>
      <c r="E533" s="527"/>
      <c r="F533" s="380"/>
      <c r="G533" s="390"/>
    </row>
    <row r="534" spans="1:7" ht="15.75">
      <c r="A534" s="528"/>
      <c r="B534" s="529" t="s">
        <v>11</v>
      </c>
      <c r="C534" s="349">
        <v>1209</v>
      </c>
      <c r="D534" s="530" t="s">
        <v>12</v>
      </c>
      <c r="E534" s="527"/>
      <c r="F534" s="531" t="s">
        <v>13</v>
      </c>
      <c r="G534" s="532">
        <f>C534*E534</f>
        <v>0</v>
      </c>
    </row>
    <row r="535" spans="1:7" ht="15.75">
      <c r="A535" s="528"/>
      <c r="B535" s="529"/>
      <c r="C535" s="349"/>
      <c r="D535" s="530"/>
      <c r="E535" s="527"/>
      <c r="F535" s="531"/>
      <c r="G535" s="532"/>
    </row>
    <row r="536" spans="1:7" ht="15.75">
      <c r="A536" s="528"/>
      <c r="B536" s="529"/>
      <c r="C536" s="349"/>
      <c r="D536" s="530"/>
      <c r="E536" s="527"/>
      <c r="F536" s="531"/>
      <c r="G536" s="532"/>
    </row>
    <row r="537" spans="1:7">
      <c r="A537" s="378"/>
      <c r="B537" s="511"/>
      <c r="C537" s="512"/>
      <c r="D537" s="511"/>
      <c r="E537" s="513"/>
      <c r="F537" s="514"/>
      <c r="G537" s="515"/>
    </row>
    <row r="538" spans="1:7">
      <c r="A538" s="332"/>
      <c r="B538" s="337"/>
      <c r="C538" s="357"/>
      <c r="D538" s="337"/>
      <c r="E538" s="338"/>
      <c r="F538" s="339"/>
      <c r="G538" s="340"/>
    </row>
    <row r="539" spans="1:7">
      <c r="A539" s="336" t="s">
        <v>3</v>
      </c>
      <c r="B539" s="423"/>
      <c r="C539" s="329" t="s">
        <v>38</v>
      </c>
      <c r="D539" s="329"/>
      <c r="E539" s="375"/>
      <c r="F539" s="373" t="s">
        <v>13</v>
      </c>
      <c r="G539" s="377">
        <f>SUM(G497:G534)</f>
        <v>0</v>
      </c>
    </row>
    <row r="540" spans="1:7">
      <c r="A540" s="378"/>
      <c r="B540" s="511"/>
      <c r="C540" s="512"/>
      <c r="D540" s="511"/>
      <c r="E540" s="513"/>
      <c r="F540" s="514"/>
      <c r="G540" s="515"/>
    </row>
    <row r="541" spans="1:7">
      <c r="A541" s="355"/>
      <c r="B541" s="356"/>
      <c r="C541" s="371"/>
      <c r="D541" s="356"/>
      <c r="E541" s="338"/>
      <c r="F541" s="372"/>
      <c r="G541" s="340"/>
    </row>
    <row r="542" spans="1:7">
      <c r="A542" s="355"/>
      <c r="B542" s="356"/>
      <c r="C542" s="371"/>
      <c r="D542" s="356"/>
      <c r="E542" s="338"/>
      <c r="F542" s="372"/>
      <c r="G542" s="340"/>
    </row>
    <row r="543" spans="1:7" ht="37.5">
      <c r="A543" s="332"/>
      <c r="B543" s="337"/>
      <c r="C543" s="533" t="s">
        <v>49</v>
      </c>
      <c r="D543" s="337"/>
      <c r="E543" s="338"/>
      <c r="F543" s="339"/>
      <c r="G543" s="340"/>
    </row>
    <row r="544" spans="1:7" ht="15.75">
      <c r="A544" s="332"/>
      <c r="B544" s="337"/>
      <c r="C544" s="534"/>
      <c r="D544" s="337"/>
      <c r="E544" s="338"/>
      <c r="F544" s="339"/>
      <c r="G544" s="340"/>
    </row>
    <row r="545" spans="1:7">
      <c r="A545" s="332"/>
      <c r="B545" s="337"/>
      <c r="C545" s="535"/>
      <c r="D545" s="337"/>
      <c r="E545" s="338"/>
      <c r="F545" s="339"/>
      <c r="G545" s="340"/>
    </row>
    <row r="546" spans="1:7">
      <c r="A546" s="332"/>
      <c r="B546" s="337"/>
      <c r="C546" s="357"/>
      <c r="D546" s="337"/>
      <c r="E546" s="338"/>
      <c r="F546" s="339"/>
      <c r="G546" s="340"/>
    </row>
    <row r="547" spans="1:7">
      <c r="A547" s="336"/>
      <c r="B547" s="329" t="s">
        <v>8</v>
      </c>
      <c r="C547" s="536" t="s">
        <v>9</v>
      </c>
      <c r="D547" s="329"/>
      <c r="E547" s="375"/>
      <c r="F547" s="373" t="s">
        <v>13</v>
      </c>
      <c r="G547" s="377" t="e">
        <f>#REF!</f>
        <v>#REF!</v>
      </c>
    </row>
    <row r="548" spans="1:7">
      <c r="A548" s="336"/>
      <c r="B548" s="329"/>
      <c r="C548" s="536"/>
      <c r="D548" s="329"/>
      <c r="E548" s="375"/>
      <c r="F548" s="373"/>
      <c r="G548" s="377"/>
    </row>
    <row r="549" spans="1:7">
      <c r="A549" s="336"/>
      <c r="B549" s="329"/>
      <c r="C549" s="536"/>
      <c r="D549" s="329"/>
      <c r="E549" s="375"/>
      <c r="F549" s="373"/>
      <c r="G549" s="377"/>
    </row>
    <row r="550" spans="1:7">
      <c r="A550" s="336"/>
      <c r="B550" s="329" t="s">
        <v>22</v>
      </c>
      <c r="C550" s="536" t="s">
        <v>23</v>
      </c>
      <c r="D550" s="329"/>
      <c r="E550" s="375"/>
      <c r="F550" s="373" t="s">
        <v>13</v>
      </c>
      <c r="G550" s="377" t="e">
        <f>#REF!</f>
        <v>#REF!</v>
      </c>
    </row>
    <row r="551" spans="1:7">
      <c r="A551" s="336"/>
      <c r="B551" s="329"/>
      <c r="C551" s="536"/>
      <c r="D551" s="329"/>
      <c r="E551" s="375"/>
      <c r="F551" s="373"/>
      <c r="G551" s="377"/>
    </row>
    <row r="552" spans="1:7">
      <c r="A552" s="336"/>
      <c r="B552" s="329"/>
      <c r="C552" s="536"/>
      <c r="D552" s="329"/>
      <c r="E552" s="375"/>
      <c r="F552" s="373"/>
      <c r="G552" s="377"/>
    </row>
    <row r="553" spans="1:7" ht="29.25">
      <c r="A553" s="336"/>
      <c r="B553" s="329" t="s">
        <v>26</v>
      </c>
      <c r="C553" s="537" t="s">
        <v>39</v>
      </c>
      <c r="D553" s="329"/>
      <c r="E553" s="375"/>
      <c r="F553" s="373" t="s">
        <v>13</v>
      </c>
      <c r="G553" s="377" t="e">
        <f>#REF!</f>
        <v>#REF!</v>
      </c>
    </row>
    <row r="554" spans="1:7">
      <c r="A554" s="336"/>
      <c r="B554" s="329"/>
      <c r="C554" s="537"/>
      <c r="D554" s="329"/>
      <c r="E554" s="375"/>
      <c r="F554" s="373"/>
      <c r="G554" s="377"/>
    </row>
    <row r="555" spans="1:7">
      <c r="A555" s="336"/>
      <c r="B555" s="329"/>
      <c r="C555" s="537"/>
      <c r="D555" s="329"/>
      <c r="E555" s="375"/>
      <c r="F555" s="373"/>
      <c r="G555" s="377"/>
    </row>
    <row r="556" spans="1:7">
      <c r="A556" s="336"/>
      <c r="B556" s="329" t="s">
        <v>27</v>
      </c>
      <c r="C556" s="536" t="s">
        <v>2</v>
      </c>
      <c r="D556" s="329"/>
      <c r="E556" s="375"/>
      <c r="F556" s="373" t="s">
        <v>13</v>
      </c>
      <c r="G556" s="377" t="e">
        <f>#REF!</f>
        <v>#REF!</v>
      </c>
    </row>
    <row r="557" spans="1:7">
      <c r="A557" s="336"/>
      <c r="B557" s="329"/>
      <c r="C557" s="536"/>
      <c r="D557" s="329"/>
      <c r="E557" s="375"/>
      <c r="F557" s="373"/>
      <c r="G557" s="377"/>
    </row>
    <row r="558" spans="1:7">
      <c r="A558" s="336"/>
      <c r="B558" s="329"/>
      <c r="C558" s="536"/>
      <c r="D558" s="329"/>
      <c r="E558" s="375"/>
      <c r="F558" s="373"/>
      <c r="G558" s="377"/>
    </row>
    <row r="559" spans="1:7">
      <c r="A559" s="336"/>
      <c r="B559" s="329" t="s">
        <v>28</v>
      </c>
      <c r="C559" s="536" t="s">
        <v>29</v>
      </c>
      <c r="D559" s="329"/>
      <c r="E559" s="375"/>
      <c r="F559" s="373" t="s">
        <v>13</v>
      </c>
      <c r="G559" s="377"/>
    </row>
    <row r="560" spans="1:7" ht="29.25">
      <c r="A560" s="336"/>
      <c r="B560" s="538" t="s">
        <v>80</v>
      </c>
      <c r="C560" s="536" t="s">
        <v>81</v>
      </c>
      <c r="D560" s="329"/>
      <c r="E560" s="375"/>
      <c r="F560" s="373" t="s">
        <v>13</v>
      </c>
      <c r="G560" s="377">
        <f>G195</f>
        <v>0</v>
      </c>
    </row>
    <row r="561" spans="1:7" ht="15.75">
      <c r="A561" s="336"/>
      <c r="B561" s="538" t="s">
        <v>82</v>
      </c>
      <c r="C561" s="536" t="s">
        <v>83</v>
      </c>
      <c r="D561" s="329"/>
      <c r="E561" s="375"/>
      <c r="F561" s="373" t="s">
        <v>13</v>
      </c>
      <c r="G561" s="377">
        <f>G398</f>
        <v>0</v>
      </c>
    </row>
    <row r="562" spans="1:7">
      <c r="A562" s="336"/>
      <c r="B562" s="329"/>
      <c r="C562" s="536"/>
      <c r="D562" s="329"/>
      <c r="E562" s="375"/>
      <c r="F562" s="373"/>
      <c r="G562" s="377"/>
    </row>
    <row r="563" spans="1:7" ht="47.25">
      <c r="A563" s="336"/>
      <c r="B563" s="538" t="s">
        <v>32</v>
      </c>
      <c r="C563" s="504" t="s">
        <v>41</v>
      </c>
      <c r="D563" s="329"/>
      <c r="E563" s="375"/>
      <c r="F563" s="373" t="s">
        <v>13</v>
      </c>
      <c r="G563" s="377">
        <f>G479</f>
        <v>0</v>
      </c>
    </row>
    <row r="564" spans="1:7">
      <c r="A564" s="336"/>
      <c r="B564" s="329"/>
      <c r="C564" s="536"/>
      <c r="D564" s="329"/>
      <c r="E564" s="375"/>
      <c r="F564" s="373"/>
      <c r="G564" s="377"/>
    </row>
    <row r="565" spans="1:7">
      <c r="A565" s="336"/>
      <c r="B565" s="329"/>
      <c r="C565" s="536"/>
      <c r="D565" s="329"/>
      <c r="E565" s="375"/>
      <c r="F565" s="373"/>
      <c r="G565" s="377"/>
    </row>
    <row r="566" spans="1:7">
      <c r="A566" s="336"/>
      <c r="B566" s="329" t="s">
        <v>3</v>
      </c>
      <c r="C566" s="536" t="s">
        <v>33</v>
      </c>
      <c r="D566" s="329"/>
      <c r="E566" s="375"/>
      <c r="F566" s="373" t="s">
        <v>13</v>
      </c>
      <c r="G566" s="377">
        <f>G539</f>
        <v>0</v>
      </c>
    </row>
    <row r="567" spans="1:7">
      <c r="A567" s="336"/>
      <c r="B567" s="329"/>
      <c r="C567" s="536"/>
      <c r="D567" s="329"/>
      <c r="E567" s="375"/>
      <c r="F567" s="373"/>
      <c r="G567" s="377"/>
    </row>
    <row r="568" spans="1:7">
      <c r="A568" s="336"/>
      <c r="B568" s="329"/>
      <c r="C568" s="536"/>
      <c r="D568" s="329"/>
      <c r="E568" s="375"/>
      <c r="F568" s="373"/>
      <c r="G568" s="377"/>
    </row>
    <row r="569" spans="1:7">
      <c r="A569" s="378"/>
      <c r="B569" s="511"/>
      <c r="C569" s="539"/>
      <c r="D569" s="511"/>
      <c r="E569" s="513"/>
      <c r="F569" s="514"/>
      <c r="G569" s="515"/>
    </row>
    <row r="570" spans="1:7">
      <c r="A570" s="332"/>
      <c r="B570" s="337"/>
      <c r="C570" s="503"/>
      <c r="D570" s="337"/>
      <c r="E570" s="338"/>
      <c r="F570" s="339"/>
      <c r="G570" s="340"/>
    </row>
    <row r="571" spans="1:7">
      <c r="A571" s="336"/>
      <c r="B571" s="329"/>
      <c r="C571" s="536" t="s">
        <v>40</v>
      </c>
      <c r="D571" s="329"/>
      <c r="E571" s="375"/>
      <c r="F571" s="373" t="s">
        <v>13</v>
      </c>
      <c r="G571" s="377" t="e">
        <f>SUM(G547:G566)</f>
        <v>#REF!</v>
      </c>
    </row>
    <row r="572" spans="1:7">
      <c r="A572" s="378"/>
      <c r="B572" s="511"/>
      <c r="C572" s="512"/>
      <c r="D572" s="511"/>
      <c r="E572" s="513"/>
      <c r="F572" s="514"/>
      <c r="G572" s="51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Q260"/>
  <sheetViews>
    <sheetView view="pageBreakPreview" topLeftCell="A8" zoomScale="115" zoomScaleNormal="70" zoomScaleSheetLayoutView="115" workbookViewId="0">
      <selection activeCell="C8" sqref="C8"/>
    </sheetView>
  </sheetViews>
  <sheetFormatPr defaultRowHeight="14.25"/>
  <cols>
    <col min="1" max="1" width="12.85546875" style="962" customWidth="1"/>
    <col min="2" max="2" width="70.7109375" style="1067" customWidth="1"/>
    <col min="3" max="3" width="17.140625" style="953" customWidth="1"/>
    <col min="4" max="4" width="11.7109375" style="953" customWidth="1"/>
    <col min="5" max="5" width="23" style="601" customWidth="1"/>
    <col min="6" max="6" width="14.7109375" style="601" customWidth="1"/>
    <col min="7" max="7" width="18" style="677" customWidth="1"/>
    <col min="8" max="8" width="30.140625" style="642" customWidth="1"/>
    <col min="9" max="34" width="9.140625" style="642"/>
    <col min="35" max="16384" width="9.140625" style="594"/>
  </cols>
  <sheetData>
    <row r="1" spans="1:34" s="616" customFormat="1" ht="28.5" customHeight="1">
      <c r="A1" s="655" t="s">
        <v>2370</v>
      </c>
      <c r="B1" s="656"/>
      <c r="C1" s="656"/>
      <c r="D1" s="657"/>
      <c r="E1" s="658"/>
      <c r="F1" s="658"/>
      <c r="G1" s="675"/>
      <c r="H1" s="639"/>
      <c r="I1" s="639"/>
      <c r="J1" s="639"/>
      <c r="K1" s="639"/>
      <c r="L1" s="639"/>
      <c r="M1" s="639"/>
      <c r="N1" s="639"/>
      <c r="O1" s="639"/>
      <c r="P1" s="639"/>
      <c r="Q1" s="639"/>
      <c r="R1" s="639"/>
      <c r="S1" s="639"/>
      <c r="T1" s="639"/>
      <c r="U1" s="639"/>
      <c r="V1" s="639"/>
      <c r="W1" s="639"/>
      <c r="X1" s="639"/>
      <c r="Y1" s="639"/>
      <c r="Z1" s="639"/>
      <c r="AA1" s="639"/>
      <c r="AB1" s="639"/>
      <c r="AC1" s="639"/>
      <c r="AD1" s="639"/>
      <c r="AE1" s="639"/>
      <c r="AF1" s="639"/>
      <c r="AG1" s="639"/>
      <c r="AH1" s="639"/>
    </row>
    <row r="2" spans="1:34" s="614" customFormat="1" ht="83.25" customHeight="1">
      <c r="A2" s="659" t="s">
        <v>222</v>
      </c>
      <c r="B2" s="1050" t="s">
        <v>372</v>
      </c>
      <c r="C2" s="614" t="s">
        <v>230</v>
      </c>
      <c r="D2" s="614" t="s">
        <v>224</v>
      </c>
      <c r="E2" s="1436" t="s">
        <v>2733</v>
      </c>
      <c r="F2" s="614" t="s">
        <v>342</v>
      </c>
      <c r="G2" s="676" t="s">
        <v>343</v>
      </c>
      <c r="H2" s="678"/>
      <c r="I2" s="678"/>
      <c r="J2" s="678"/>
      <c r="K2" s="678"/>
      <c r="L2" s="678"/>
      <c r="M2" s="678"/>
      <c r="N2" s="678"/>
      <c r="O2" s="678"/>
      <c r="P2" s="678"/>
      <c r="Q2" s="678"/>
      <c r="R2" s="678"/>
      <c r="S2" s="678"/>
      <c r="T2" s="678"/>
      <c r="U2" s="678"/>
      <c r="V2" s="678"/>
      <c r="W2" s="678"/>
      <c r="X2" s="678"/>
      <c r="Y2" s="678"/>
      <c r="Z2" s="678"/>
      <c r="AA2" s="678"/>
      <c r="AB2" s="678"/>
      <c r="AC2" s="678"/>
      <c r="AD2" s="678"/>
      <c r="AE2" s="678"/>
      <c r="AF2" s="678"/>
      <c r="AG2" s="678"/>
      <c r="AH2" s="678"/>
    </row>
    <row r="3" spans="1:34" s="990" customFormat="1" ht="24.75" customHeight="1">
      <c r="A3" s="1145" t="s">
        <v>14</v>
      </c>
      <c r="B3" s="1142" t="s">
        <v>1415</v>
      </c>
      <c r="C3" s="1146" t="s">
        <v>2264</v>
      </c>
      <c r="D3" s="985"/>
      <c r="E3" s="985"/>
      <c r="F3" s="1143"/>
      <c r="G3" s="1144">
        <f>G4+G8+G26+G29+G42+G31</f>
        <v>0</v>
      </c>
      <c r="H3" s="989"/>
      <c r="I3" s="989"/>
      <c r="J3" s="989"/>
      <c r="K3" s="989"/>
      <c r="L3" s="989"/>
      <c r="M3" s="989"/>
      <c r="N3" s="989"/>
      <c r="O3" s="989"/>
      <c r="P3" s="989"/>
      <c r="Q3" s="989"/>
      <c r="R3" s="989"/>
      <c r="S3" s="989"/>
      <c r="T3" s="989"/>
      <c r="U3" s="989"/>
      <c r="V3" s="989"/>
      <c r="W3" s="989"/>
      <c r="X3" s="989"/>
      <c r="Y3" s="989"/>
      <c r="Z3" s="989"/>
      <c r="AA3" s="989"/>
      <c r="AB3" s="989"/>
      <c r="AC3" s="989"/>
      <c r="AD3" s="989"/>
      <c r="AE3" s="989"/>
      <c r="AF3" s="989"/>
      <c r="AG3" s="989"/>
      <c r="AH3" s="989"/>
    </row>
    <row r="4" spans="1:34" s="617" customFormat="1" ht="16.5" customHeight="1">
      <c r="A4" s="954" t="s">
        <v>218</v>
      </c>
      <c r="B4" s="1051" t="s">
        <v>228</v>
      </c>
      <c r="C4" s="828" t="s">
        <v>403</v>
      </c>
      <c r="D4" s="631"/>
      <c r="E4" s="631"/>
      <c r="F4" s="780"/>
      <c r="G4" s="705">
        <f>SUM(G5:G6)</f>
        <v>0</v>
      </c>
      <c r="H4" s="679"/>
      <c r="I4" s="679"/>
      <c r="J4" s="679"/>
      <c r="K4" s="679"/>
      <c r="L4" s="679"/>
      <c r="M4" s="679"/>
      <c r="N4" s="679"/>
      <c r="O4" s="679"/>
      <c r="P4" s="679"/>
      <c r="Q4" s="679"/>
      <c r="R4" s="679"/>
      <c r="S4" s="679"/>
      <c r="T4" s="679"/>
      <c r="U4" s="679"/>
      <c r="V4" s="679"/>
      <c r="W4" s="679"/>
      <c r="X4" s="679"/>
      <c r="Y4" s="679"/>
      <c r="Z4" s="679"/>
      <c r="AA4" s="679"/>
      <c r="AB4" s="679"/>
      <c r="AC4" s="679"/>
      <c r="AD4" s="679"/>
      <c r="AE4" s="679"/>
      <c r="AF4" s="679"/>
      <c r="AG4" s="679"/>
      <c r="AH4" s="679"/>
    </row>
    <row r="5" spans="1:34" s="599" customFormat="1">
      <c r="A5" s="955" t="s">
        <v>1416</v>
      </c>
      <c r="B5" s="1052" t="str">
        <f>'1. KOLEKTORI'!B6</f>
        <v>Izrada izvedbenog projekta po svim strukovnim odrednicama</v>
      </c>
      <c r="C5" s="1330" t="str">
        <f>'1. KOLEKTORI'!C6</f>
        <v>2.2.2.</v>
      </c>
      <c r="D5" s="702" t="s">
        <v>18</v>
      </c>
      <c r="E5" s="774">
        <v>1</v>
      </c>
      <c r="F5" s="771"/>
      <c r="G5" s="711">
        <f>E5*F5</f>
        <v>0</v>
      </c>
      <c r="H5" s="683"/>
      <c r="I5" s="683"/>
      <c r="J5" s="683"/>
      <c r="K5" s="683"/>
      <c r="L5" s="683"/>
      <c r="M5" s="683"/>
      <c r="N5" s="683"/>
      <c r="O5" s="683"/>
      <c r="P5" s="683"/>
      <c r="Q5" s="683"/>
      <c r="R5" s="683"/>
      <c r="S5" s="683"/>
      <c r="T5" s="683"/>
      <c r="U5" s="683"/>
      <c r="V5" s="683"/>
      <c r="W5" s="683"/>
      <c r="X5" s="683"/>
      <c r="Y5" s="683"/>
      <c r="Z5" s="683"/>
      <c r="AA5" s="683"/>
      <c r="AB5" s="683"/>
      <c r="AC5" s="683"/>
      <c r="AD5" s="683"/>
      <c r="AE5" s="683"/>
      <c r="AF5" s="683"/>
      <c r="AG5" s="683"/>
      <c r="AH5" s="683"/>
    </row>
    <row r="6" spans="1:34" s="599" customFormat="1">
      <c r="A6" s="955" t="s">
        <v>1417</v>
      </c>
      <c r="B6" s="1052" t="str">
        <f>'1. KOLEKTORI'!B11</f>
        <v>Izrada projekta izvedenog stanja po svim strukovnim odrednicama</v>
      </c>
      <c r="C6" s="1330" t="str">
        <f>'1. KOLEKTORI'!C11</f>
        <v>2.2.5.</v>
      </c>
      <c r="D6" s="702" t="s">
        <v>18</v>
      </c>
      <c r="E6" s="774">
        <v>1</v>
      </c>
      <c r="F6" s="771"/>
      <c r="G6" s="711">
        <f t="shared" ref="G6:G11" si="0">E6*F6</f>
        <v>0</v>
      </c>
      <c r="H6" s="683"/>
      <c r="I6" s="683"/>
      <c r="J6" s="683"/>
      <c r="K6" s="683"/>
      <c r="L6" s="683"/>
      <c r="M6" s="683"/>
      <c r="N6" s="683"/>
      <c r="O6" s="683"/>
      <c r="P6" s="683"/>
      <c r="Q6" s="683"/>
      <c r="R6" s="683"/>
      <c r="S6" s="683"/>
      <c r="T6" s="683"/>
      <c r="U6" s="683"/>
      <c r="V6" s="683"/>
      <c r="W6" s="683"/>
      <c r="X6" s="683"/>
      <c r="Y6" s="683"/>
      <c r="Z6" s="683"/>
      <c r="AA6" s="683"/>
      <c r="AB6" s="683"/>
      <c r="AC6" s="683"/>
      <c r="AD6" s="683"/>
      <c r="AE6" s="683"/>
      <c r="AF6" s="683"/>
      <c r="AG6" s="683"/>
      <c r="AH6" s="683"/>
    </row>
    <row r="7" spans="1:34" s="599" customFormat="1">
      <c r="A7" s="957"/>
      <c r="B7" s="946" t="str">
        <f>'1. KOLEKTORI'!B10</f>
        <v>Izrada elaborata privremene regulacije prometa</v>
      </c>
      <c r="C7" s="1155"/>
      <c r="D7" s="1156"/>
      <c r="E7" s="1153"/>
      <c r="F7" s="1154"/>
      <c r="G7" s="711"/>
      <c r="H7" s="683"/>
      <c r="I7" s="683"/>
      <c r="J7" s="683"/>
      <c r="K7" s="683"/>
      <c r="L7" s="683"/>
      <c r="M7" s="683"/>
      <c r="N7" s="683"/>
      <c r="O7" s="683"/>
      <c r="P7" s="683"/>
      <c r="Q7" s="683"/>
      <c r="R7" s="683"/>
      <c r="S7" s="683"/>
      <c r="T7" s="683"/>
      <c r="U7" s="683"/>
      <c r="V7" s="683"/>
      <c r="W7" s="683"/>
      <c r="X7" s="683"/>
      <c r="Y7" s="683"/>
      <c r="Z7" s="683"/>
      <c r="AA7" s="683"/>
      <c r="AB7" s="683"/>
      <c r="AC7" s="683"/>
      <c r="AD7" s="683"/>
      <c r="AE7" s="683"/>
      <c r="AF7" s="683"/>
      <c r="AG7" s="683"/>
      <c r="AH7" s="683"/>
    </row>
    <row r="8" spans="1:34" s="617" customFormat="1" ht="16.5" customHeight="1">
      <c r="A8" s="954" t="s">
        <v>354</v>
      </c>
      <c r="B8" s="1051" t="s">
        <v>229</v>
      </c>
      <c r="C8" s="949"/>
      <c r="D8" s="763"/>
      <c r="E8" s="772"/>
      <c r="F8" s="772"/>
      <c r="G8" s="705">
        <f>SUM(G9:G25)</f>
        <v>0</v>
      </c>
      <c r="H8" s="679"/>
      <c r="I8" s="679"/>
      <c r="J8" s="679"/>
      <c r="K8" s="679"/>
      <c r="L8" s="679"/>
      <c r="M8" s="679"/>
      <c r="N8" s="679"/>
      <c r="O8" s="679"/>
      <c r="P8" s="679"/>
      <c r="Q8" s="679"/>
      <c r="R8" s="679"/>
      <c r="S8" s="679"/>
      <c r="T8" s="679"/>
      <c r="U8" s="679"/>
      <c r="V8" s="679"/>
      <c r="W8" s="679"/>
      <c r="X8" s="679"/>
      <c r="Y8" s="679"/>
      <c r="Z8" s="679"/>
      <c r="AA8" s="679"/>
      <c r="AB8" s="679"/>
      <c r="AC8" s="679"/>
      <c r="AD8" s="679"/>
      <c r="AE8" s="679"/>
      <c r="AF8" s="679"/>
      <c r="AG8" s="679"/>
      <c r="AH8" s="679"/>
    </row>
    <row r="9" spans="1:34" s="599" customFormat="1">
      <c r="A9" s="955" t="s">
        <v>231</v>
      </c>
      <c r="B9" s="1052" t="s">
        <v>345</v>
      </c>
      <c r="C9" s="795"/>
      <c r="D9" s="702"/>
      <c r="E9" s="774"/>
      <c r="F9" s="775"/>
      <c r="G9" s="711"/>
      <c r="H9" s="683"/>
      <c r="I9" s="683"/>
      <c r="J9" s="683"/>
      <c r="K9" s="683"/>
      <c r="L9" s="683"/>
      <c r="M9" s="683"/>
      <c r="N9" s="683"/>
      <c r="O9" s="683"/>
      <c r="P9" s="683"/>
      <c r="Q9" s="683"/>
      <c r="R9" s="683"/>
      <c r="S9" s="683"/>
      <c r="T9" s="683"/>
      <c r="U9" s="683"/>
      <c r="V9" s="683"/>
      <c r="W9" s="683"/>
      <c r="X9" s="683"/>
      <c r="Y9" s="683"/>
      <c r="Z9" s="683"/>
      <c r="AA9" s="683"/>
      <c r="AB9" s="683"/>
      <c r="AC9" s="683"/>
      <c r="AD9" s="683"/>
      <c r="AE9" s="683"/>
      <c r="AF9" s="683"/>
      <c r="AG9" s="683"/>
      <c r="AH9" s="683"/>
    </row>
    <row r="10" spans="1:34" s="599" customFormat="1">
      <c r="A10" s="957" t="s">
        <v>1419</v>
      </c>
      <c r="B10" s="946" t="s">
        <v>538</v>
      </c>
      <c r="C10" s="781" t="s">
        <v>365</v>
      </c>
      <c r="D10" s="737" t="s">
        <v>11</v>
      </c>
      <c r="E10" s="774">
        <v>1930</v>
      </c>
      <c r="F10" s="771"/>
      <c r="G10" s="711">
        <f t="shared" si="0"/>
        <v>0</v>
      </c>
      <c r="H10" s="683"/>
      <c r="I10" s="683"/>
      <c r="J10" s="683"/>
      <c r="K10" s="683"/>
      <c r="L10" s="683"/>
      <c r="M10" s="683"/>
      <c r="N10" s="683"/>
      <c r="O10" s="683"/>
      <c r="P10" s="683"/>
      <c r="Q10" s="683"/>
      <c r="R10" s="683"/>
      <c r="S10" s="683"/>
      <c r="T10" s="683"/>
      <c r="U10" s="683"/>
      <c r="V10" s="683"/>
      <c r="W10" s="683"/>
      <c r="X10" s="683"/>
      <c r="Y10" s="683"/>
      <c r="Z10" s="683"/>
      <c r="AA10" s="683"/>
      <c r="AB10" s="683"/>
      <c r="AC10" s="683"/>
      <c r="AD10" s="683"/>
      <c r="AE10" s="683"/>
      <c r="AF10" s="683"/>
      <c r="AG10" s="683"/>
      <c r="AH10" s="683"/>
    </row>
    <row r="11" spans="1:34" s="599" customFormat="1">
      <c r="A11" s="957" t="s">
        <v>1420</v>
      </c>
      <c r="B11" s="946" t="s">
        <v>537</v>
      </c>
      <c r="C11" s="781" t="s">
        <v>365</v>
      </c>
      <c r="D11" s="737" t="s">
        <v>18</v>
      </c>
      <c r="E11" s="774">
        <v>145</v>
      </c>
      <c r="F11" s="771"/>
      <c r="G11" s="711">
        <f t="shared" si="0"/>
        <v>0</v>
      </c>
      <c r="H11" s="683"/>
      <c r="I11" s="683"/>
      <c r="J11" s="683"/>
      <c r="K11" s="683"/>
      <c r="L11" s="683"/>
      <c r="M11" s="683"/>
      <c r="N11" s="683"/>
      <c r="O11" s="683"/>
      <c r="P11" s="683"/>
      <c r="Q11" s="683"/>
      <c r="R11" s="683"/>
      <c r="S11" s="683"/>
      <c r="T11" s="683"/>
      <c r="U11" s="683"/>
      <c r="V11" s="683"/>
      <c r="W11" s="683"/>
      <c r="X11" s="683"/>
      <c r="Y11" s="683"/>
      <c r="Z11" s="683"/>
      <c r="AA11" s="683"/>
      <c r="AB11" s="683"/>
      <c r="AC11" s="683"/>
      <c r="AD11" s="683"/>
      <c r="AE11" s="683"/>
      <c r="AF11" s="683"/>
      <c r="AG11" s="683"/>
      <c r="AH11" s="683"/>
    </row>
    <row r="12" spans="1:34" s="599" customFormat="1">
      <c r="A12" s="717" t="s">
        <v>1421</v>
      </c>
      <c r="B12" s="1052" t="s">
        <v>539</v>
      </c>
      <c r="C12" s="1335" t="s">
        <v>386</v>
      </c>
      <c r="D12" s="702"/>
      <c r="E12" s="774"/>
      <c r="F12" s="775"/>
      <c r="G12" s="711"/>
      <c r="H12" s="683"/>
      <c r="I12" s="683"/>
      <c r="J12" s="683"/>
      <c r="K12" s="683"/>
      <c r="L12" s="683"/>
      <c r="M12" s="683"/>
      <c r="N12" s="683"/>
      <c r="O12" s="683"/>
      <c r="P12" s="683"/>
      <c r="Q12" s="683"/>
      <c r="R12" s="683"/>
      <c r="S12" s="683"/>
      <c r="T12" s="683"/>
      <c r="U12" s="683"/>
      <c r="V12" s="683"/>
      <c r="W12" s="683"/>
      <c r="X12" s="683"/>
      <c r="Y12" s="683"/>
      <c r="Z12" s="683"/>
      <c r="AA12" s="683"/>
      <c r="AB12" s="683"/>
      <c r="AC12" s="683"/>
      <c r="AD12" s="683"/>
      <c r="AE12" s="683"/>
      <c r="AF12" s="683"/>
      <c r="AG12" s="683"/>
      <c r="AH12" s="683"/>
    </row>
    <row r="13" spans="1:34" s="598" customFormat="1" ht="15.75">
      <c r="A13" s="714" t="s">
        <v>1422</v>
      </c>
      <c r="B13" s="946" t="s">
        <v>560</v>
      </c>
      <c r="C13" s="737"/>
      <c r="D13" s="737" t="s">
        <v>351</v>
      </c>
      <c r="E13" s="774">
        <v>1000</v>
      </c>
      <c r="F13" s="771"/>
      <c r="G13" s="711">
        <f t="shared" ref="G13:G28" si="1">E13*F13</f>
        <v>0</v>
      </c>
      <c r="H13" s="681"/>
      <c r="I13" s="681"/>
      <c r="J13" s="681"/>
      <c r="K13" s="681"/>
      <c r="L13" s="681"/>
      <c r="M13" s="681"/>
      <c r="N13" s="681"/>
      <c r="O13" s="681"/>
      <c r="P13" s="681"/>
      <c r="Q13" s="681"/>
      <c r="R13" s="681"/>
      <c r="S13" s="681"/>
      <c r="T13" s="681"/>
      <c r="U13" s="681"/>
      <c r="V13" s="681"/>
      <c r="W13" s="681"/>
      <c r="X13" s="681"/>
      <c r="Y13" s="681"/>
      <c r="Z13" s="681"/>
      <c r="AA13" s="681"/>
      <c r="AB13" s="681"/>
      <c r="AC13" s="681"/>
      <c r="AD13" s="681"/>
      <c r="AE13" s="681"/>
      <c r="AF13" s="681"/>
      <c r="AG13" s="681"/>
      <c r="AH13" s="681"/>
    </row>
    <row r="14" spans="1:34" s="595" customFormat="1">
      <c r="A14" s="714" t="s">
        <v>1423</v>
      </c>
      <c r="B14" s="946" t="s">
        <v>561</v>
      </c>
      <c r="C14" s="737"/>
      <c r="D14" s="737" t="s">
        <v>18</v>
      </c>
      <c r="E14" s="774">
        <v>10</v>
      </c>
      <c r="F14" s="771"/>
      <c r="G14" s="711">
        <f t="shared" si="1"/>
        <v>0</v>
      </c>
      <c r="H14" s="680"/>
      <c r="I14" s="680"/>
      <c r="J14" s="680"/>
      <c r="K14" s="680"/>
      <c r="L14" s="680"/>
      <c r="M14" s="680"/>
      <c r="N14" s="680"/>
      <c r="O14" s="680"/>
      <c r="P14" s="680"/>
      <c r="Q14" s="680"/>
      <c r="R14" s="680"/>
      <c r="S14" s="680"/>
      <c r="T14" s="680"/>
      <c r="U14" s="680"/>
      <c r="V14" s="680"/>
      <c r="W14" s="680"/>
      <c r="X14" s="680"/>
      <c r="Y14" s="680"/>
      <c r="Z14" s="680"/>
      <c r="AA14" s="680"/>
      <c r="AB14" s="680"/>
      <c r="AC14" s="680"/>
      <c r="AD14" s="680"/>
      <c r="AE14" s="680"/>
      <c r="AF14" s="680"/>
      <c r="AG14" s="680"/>
      <c r="AH14" s="680"/>
    </row>
    <row r="15" spans="1:34" s="595" customFormat="1">
      <c r="A15" s="714" t="s">
        <v>1424</v>
      </c>
      <c r="B15" s="946" t="s">
        <v>444</v>
      </c>
      <c r="C15" s="737"/>
      <c r="D15" s="737" t="s">
        <v>18</v>
      </c>
      <c r="E15" s="774">
        <v>5</v>
      </c>
      <c r="F15" s="771"/>
      <c r="G15" s="711">
        <f t="shared" si="1"/>
        <v>0</v>
      </c>
      <c r="H15" s="680"/>
      <c r="I15" s="680"/>
      <c r="J15" s="680"/>
      <c r="K15" s="680"/>
      <c r="L15" s="680"/>
      <c r="M15" s="680"/>
      <c r="N15" s="680"/>
      <c r="O15" s="680"/>
      <c r="P15" s="680"/>
      <c r="Q15" s="680"/>
      <c r="R15" s="680"/>
      <c r="S15" s="680"/>
      <c r="T15" s="680"/>
      <c r="U15" s="680"/>
      <c r="V15" s="680"/>
      <c r="W15" s="680"/>
      <c r="X15" s="680"/>
      <c r="Y15" s="680"/>
      <c r="Z15" s="680"/>
      <c r="AA15" s="680"/>
      <c r="AB15" s="680"/>
      <c r="AC15" s="680"/>
      <c r="AD15" s="680"/>
      <c r="AE15" s="680"/>
      <c r="AF15" s="680"/>
      <c r="AG15" s="680"/>
      <c r="AH15" s="680"/>
    </row>
    <row r="16" spans="1:34" s="595" customFormat="1">
      <c r="A16" s="714" t="s">
        <v>1425</v>
      </c>
      <c r="B16" s="946" t="s">
        <v>540</v>
      </c>
      <c r="C16" s="737"/>
      <c r="D16" s="737" t="s">
        <v>18</v>
      </c>
      <c r="E16" s="774">
        <v>5</v>
      </c>
      <c r="F16" s="771"/>
      <c r="G16" s="711">
        <f t="shared" si="1"/>
        <v>0</v>
      </c>
      <c r="H16" s="680"/>
      <c r="I16" s="680"/>
      <c r="J16" s="680"/>
      <c r="K16" s="680"/>
      <c r="L16" s="680"/>
      <c r="M16" s="680"/>
      <c r="N16" s="680"/>
      <c r="O16" s="680"/>
      <c r="P16" s="680"/>
      <c r="Q16" s="680"/>
      <c r="R16" s="680"/>
      <c r="S16" s="680"/>
      <c r="T16" s="680"/>
      <c r="U16" s="680"/>
      <c r="V16" s="680"/>
      <c r="W16" s="680"/>
      <c r="X16" s="680"/>
      <c r="Y16" s="680"/>
      <c r="Z16" s="680"/>
      <c r="AA16" s="680"/>
      <c r="AB16" s="680"/>
      <c r="AC16" s="680"/>
      <c r="AD16" s="680"/>
      <c r="AE16" s="680"/>
      <c r="AF16" s="680"/>
      <c r="AG16" s="680"/>
      <c r="AH16" s="680"/>
    </row>
    <row r="17" spans="1:43" s="599" customFormat="1">
      <c r="A17" s="717" t="s">
        <v>232</v>
      </c>
      <c r="B17" s="1055" t="s">
        <v>542</v>
      </c>
      <c r="C17" s="795"/>
      <c r="D17" s="702"/>
      <c r="E17" s="774"/>
      <c r="F17" s="775"/>
      <c r="G17" s="711"/>
      <c r="H17" s="683"/>
      <c r="I17" s="683"/>
      <c r="J17" s="683"/>
      <c r="K17" s="683"/>
      <c r="L17" s="683"/>
      <c r="M17" s="683"/>
      <c r="N17" s="683"/>
      <c r="O17" s="683"/>
      <c r="P17" s="683"/>
      <c r="Q17" s="683"/>
      <c r="R17" s="683"/>
      <c r="S17" s="683"/>
      <c r="T17" s="683"/>
      <c r="U17" s="683"/>
      <c r="V17" s="683"/>
      <c r="W17" s="683"/>
      <c r="X17" s="683"/>
      <c r="Y17" s="683"/>
      <c r="Z17" s="683"/>
      <c r="AA17" s="683"/>
      <c r="AB17" s="683"/>
      <c r="AC17" s="683"/>
      <c r="AD17" s="683"/>
      <c r="AE17" s="683"/>
      <c r="AF17" s="683"/>
      <c r="AG17" s="683"/>
      <c r="AH17" s="683"/>
    </row>
    <row r="18" spans="1:43" s="599" customFormat="1">
      <c r="A18" s="714" t="s">
        <v>1426</v>
      </c>
      <c r="B18" s="948" t="s">
        <v>600</v>
      </c>
      <c r="C18" s="804" t="s">
        <v>545</v>
      </c>
      <c r="D18" s="800" t="s">
        <v>18</v>
      </c>
      <c r="E18" s="774">
        <v>10</v>
      </c>
      <c r="F18" s="771"/>
      <c r="G18" s="711">
        <f t="shared" si="1"/>
        <v>0</v>
      </c>
      <c r="H18" s="683"/>
      <c r="I18" s="683"/>
      <c r="J18" s="683"/>
      <c r="K18" s="683"/>
      <c r="L18" s="683"/>
      <c r="M18" s="683"/>
      <c r="N18" s="683"/>
      <c r="O18" s="683"/>
      <c r="P18" s="683"/>
      <c r="Q18" s="683"/>
      <c r="R18" s="683"/>
      <c r="S18" s="683"/>
      <c r="T18" s="683"/>
      <c r="U18" s="683"/>
      <c r="V18" s="683"/>
      <c r="W18" s="683"/>
      <c r="X18" s="683"/>
      <c r="Y18" s="683"/>
      <c r="Z18" s="683"/>
      <c r="AA18" s="683"/>
      <c r="AB18" s="683"/>
      <c r="AC18" s="683"/>
      <c r="AD18" s="683"/>
      <c r="AE18" s="683"/>
      <c r="AF18" s="683"/>
      <c r="AG18" s="683"/>
      <c r="AH18" s="683"/>
    </row>
    <row r="19" spans="1:43" s="599" customFormat="1">
      <c r="A19" s="714" t="s">
        <v>1427</v>
      </c>
      <c r="B19" s="948" t="s">
        <v>601</v>
      </c>
      <c r="C19" s="804" t="s">
        <v>545</v>
      </c>
      <c r="D19" s="800" t="s">
        <v>18</v>
      </c>
      <c r="E19" s="774">
        <v>10</v>
      </c>
      <c r="F19" s="771"/>
      <c r="G19" s="711">
        <f t="shared" si="1"/>
        <v>0</v>
      </c>
      <c r="H19" s="683"/>
      <c r="I19" s="683"/>
      <c r="J19" s="683"/>
      <c r="K19" s="683"/>
      <c r="L19" s="683"/>
      <c r="M19" s="683"/>
      <c r="N19" s="683"/>
      <c r="O19" s="683"/>
      <c r="P19" s="683"/>
      <c r="Q19" s="683"/>
      <c r="R19" s="683"/>
      <c r="S19" s="683"/>
      <c r="T19" s="683"/>
      <c r="U19" s="683"/>
      <c r="V19" s="683"/>
      <c r="W19" s="683"/>
      <c r="X19" s="683"/>
      <c r="Y19" s="683"/>
      <c r="Z19" s="683"/>
      <c r="AA19" s="683"/>
      <c r="AB19" s="683"/>
      <c r="AC19" s="683"/>
      <c r="AD19" s="683"/>
      <c r="AE19" s="683"/>
      <c r="AF19" s="683"/>
      <c r="AG19" s="683"/>
      <c r="AH19" s="683"/>
    </row>
    <row r="20" spans="1:43" s="599" customFormat="1">
      <c r="A20" s="714" t="s">
        <v>1428</v>
      </c>
      <c r="B20" s="948" t="s">
        <v>602</v>
      </c>
      <c r="C20" s="804" t="s">
        <v>545</v>
      </c>
      <c r="D20" s="800" t="s">
        <v>18</v>
      </c>
      <c r="E20" s="774">
        <v>10</v>
      </c>
      <c r="F20" s="771"/>
      <c r="G20" s="711">
        <f t="shared" si="1"/>
        <v>0</v>
      </c>
      <c r="H20" s="683"/>
      <c r="I20" s="683"/>
      <c r="J20" s="683"/>
      <c r="K20" s="683"/>
      <c r="L20" s="683"/>
      <c r="M20" s="683"/>
      <c r="N20" s="683"/>
      <c r="O20" s="683"/>
      <c r="P20" s="683"/>
      <c r="Q20" s="683"/>
      <c r="R20" s="683"/>
      <c r="S20" s="683"/>
      <c r="T20" s="683"/>
      <c r="U20" s="683"/>
      <c r="V20" s="683"/>
      <c r="W20" s="683"/>
      <c r="X20" s="683"/>
      <c r="Y20" s="683"/>
      <c r="Z20" s="683"/>
      <c r="AA20" s="683"/>
      <c r="AB20" s="683"/>
      <c r="AC20" s="683"/>
      <c r="AD20" s="683"/>
      <c r="AE20" s="683"/>
      <c r="AF20" s="683"/>
      <c r="AG20" s="683"/>
      <c r="AH20" s="683"/>
    </row>
    <row r="21" spans="1:43" s="599" customFormat="1" ht="28.5">
      <c r="A21" s="958" t="s">
        <v>1429</v>
      </c>
      <c r="B21" s="1098" t="s">
        <v>1093</v>
      </c>
      <c r="C21" s="804" t="s">
        <v>1094</v>
      </c>
      <c r="D21" s="800" t="s">
        <v>11</v>
      </c>
      <c r="E21" s="774">
        <v>1930</v>
      </c>
      <c r="F21" s="771"/>
      <c r="G21" s="711">
        <f t="shared" si="1"/>
        <v>0</v>
      </c>
      <c r="H21" s="683"/>
      <c r="I21" s="683"/>
      <c r="J21" s="683"/>
      <c r="K21" s="683"/>
      <c r="L21" s="683"/>
      <c r="M21" s="683"/>
      <c r="N21" s="683"/>
      <c r="O21" s="683"/>
      <c r="P21" s="683"/>
      <c r="Q21" s="683"/>
      <c r="R21" s="683"/>
      <c r="S21" s="683"/>
      <c r="T21" s="683"/>
      <c r="U21" s="683"/>
      <c r="V21" s="683"/>
      <c r="W21" s="683"/>
      <c r="X21" s="683"/>
      <c r="Y21" s="683"/>
      <c r="Z21" s="683"/>
      <c r="AA21" s="683"/>
      <c r="AB21" s="683"/>
      <c r="AC21" s="683"/>
      <c r="AD21" s="683"/>
      <c r="AE21" s="683"/>
      <c r="AF21" s="683"/>
      <c r="AG21" s="683"/>
      <c r="AH21" s="683"/>
    </row>
    <row r="22" spans="1:43" s="599" customFormat="1">
      <c r="A22" s="958" t="s">
        <v>1430</v>
      </c>
      <c r="B22" s="1098" t="s">
        <v>1095</v>
      </c>
      <c r="C22" s="804" t="s">
        <v>1096</v>
      </c>
      <c r="D22" s="800" t="s">
        <v>18</v>
      </c>
      <c r="E22" s="774">
        <v>145</v>
      </c>
      <c r="F22" s="771"/>
      <c r="G22" s="711">
        <f t="shared" si="1"/>
        <v>0</v>
      </c>
      <c r="H22" s="683"/>
      <c r="I22" s="683"/>
      <c r="J22" s="683"/>
      <c r="K22" s="683"/>
      <c r="L22" s="683"/>
      <c r="M22" s="683"/>
      <c r="N22" s="683"/>
      <c r="O22" s="683"/>
      <c r="P22" s="683"/>
      <c r="Q22" s="683"/>
      <c r="R22" s="683"/>
      <c r="S22" s="683"/>
      <c r="T22" s="683"/>
      <c r="U22" s="683"/>
      <c r="V22" s="683"/>
      <c r="W22" s="683"/>
      <c r="X22" s="683"/>
      <c r="Y22" s="683"/>
      <c r="Z22" s="683"/>
      <c r="AA22" s="683"/>
      <c r="AB22" s="683"/>
      <c r="AC22" s="683"/>
      <c r="AD22" s="683"/>
      <c r="AE22" s="683"/>
      <c r="AF22" s="683"/>
      <c r="AG22" s="683"/>
      <c r="AH22" s="683"/>
    </row>
    <row r="23" spans="1:43" s="599" customFormat="1">
      <c r="A23" s="958" t="s">
        <v>1431</v>
      </c>
      <c r="B23" s="1098" t="s">
        <v>1097</v>
      </c>
      <c r="C23" s="804" t="s">
        <v>1100</v>
      </c>
      <c r="D23" s="800" t="s">
        <v>236</v>
      </c>
      <c r="E23" s="774">
        <v>30</v>
      </c>
      <c r="F23" s="771"/>
      <c r="G23" s="711">
        <f t="shared" si="1"/>
        <v>0</v>
      </c>
      <c r="H23" s="683"/>
      <c r="I23" s="683"/>
      <c r="J23" s="683"/>
      <c r="K23" s="683"/>
      <c r="L23" s="683"/>
      <c r="M23" s="683"/>
      <c r="N23" s="683"/>
      <c r="O23" s="683"/>
      <c r="P23" s="683"/>
      <c r="Q23" s="683"/>
      <c r="R23" s="683"/>
      <c r="S23" s="683"/>
      <c r="T23" s="683"/>
      <c r="U23" s="683"/>
      <c r="V23" s="683"/>
      <c r="W23" s="683"/>
      <c r="X23" s="683"/>
      <c r="Y23" s="683"/>
      <c r="Z23" s="683"/>
      <c r="AA23" s="683"/>
      <c r="AB23" s="683"/>
      <c r="AC23" s="683"/>
      <c r="AD23" s="683"/>
      <c r="AE23" s="683"/>
      <c r="AF23" s="683"/>
      <c r="AG23" s="683"/>
      <c r="AH23" s="683"/>
    </row>
    <row r="24" spans="1:43" s="599" customFormat="1">
      <c r="A24" s="958" t="s">
        <v>1432</v>
      </c>
      <c r="B24" s="1098" t="s">
        <v>1098</v>
      </c>
      <c r="C24" s="804" t="s">
        <v>1101</v>
      </c>
      <c r="D24" s="800" t="s">
        <v>18</v>
      </c>
      <c r="E24" s="774">
        <v>50</v>
      </c>
      <c r="F24" s="771"/>
      <c r="G24" s="711">
        <f t="shared" si="1"/>
        <v>0</v>
      </c>
      <c r="H24" s="683"/>
      <c r="I24" s="683"/>
      <c r="J24" s="683"/>
      <c r="K24" s="683"/>
      <c r="L24" s="683"/>
      <c r="M24" s="683"/>
      <c r="N24" s="683"/>
      <c r="O24" s="683"/>
      <c r="P24" s="683"/>
      <c r="Q24" s="683"/>
      <c r="R24" s="683"/>
      <c r="S24" s="683"/>
      <c r="T24" s="683"/>
      <c r="U24" s="683"/>
      <c r="V24" s="683"/>
      <c r="W24" s="683"/>
      <c r="X24" s="683"/>
      <c r="Y24" s="683"/>
      <c r="Z24" s="683"/>
      <c r="AA24" s="683"/>
      <c r="AB24" s="683"/>
      <c r="AC24" s="683"/>
      <c r="AD24" s="683"/>
      <c r="AE24" s="683"/>
      <c r="AF24" s="683"/>
      <c r="AG24" s="683"/>
      <c r="AH24" s="683"/>
    </row>
    <row r="25" spans="1:43" s="599" customFormat="1">
      <c r="A25" s="958" t="s">
        <v>1433</v>
      </c>
      <c r="B25" s="1098" t="s">
        <v>1099</v>
      </c>
      <c r="C25" s="804" t="s">
        <v>1102</v>
      </c>
      <c r="D25" s="800" t="s">
        <v>18</v>
      </c>
      <c r="E25" s="774">
        <v>50</v>
      </c>
      <c r="F25" s="771"/>
      <c r="G25" s="711">
        <f t="shared" si="1"/>
        <v>0</v>
      </c>
      <c r="H25" s="683"/>
      <c r="I25" s="683"/>
      <c r="J25" s="683"/>
      <c r="K25" s="683"/>
      <c r="L25" s="683"/>
      <c r="M25" s="683"/>
      <c r="N25" s="683"/>
      <c r="O25" s="683"/>
      <c r="P25" s="683"/>
      <c r="Q25" s="683"/>
      <c r="R25" s="683"/>
      <c r="S25" s="683"/>
      <c r="T25" s="683"/>
      <c r="U25" s="683"/>
      <c r="V25" s="683"/>
      <c r="W25" s="683"/>
      <c r="X25" s="683"/>
      <c r="Y25" s="683"/>
      <c r="Z25" s="683"/>
      <c r="AA25" s="683"/>
      <c r="AB25" s="683"/>
      <c r="AC25" s="683"/>
      <c r="AD25" s="683"/>
      <c r="AE25" s="683"/>
      <c r="AF25" s="683"/>
      <c r="AG25" s="683"/>
      <c r="AH25" s="683"/>
    </row>
    <row r="26" spans="1:43" s="592" customFormat="1" ht="16.5" customHeight="1">
      <c r="A26" s="715" t="s">
        <v>355</v>
      </c>
      <c r="B26" s="1056" t="s">
        <v>417</v>
      </c>
      <c r="C26" s="701" t="s">
        <v>357</v>
      </c>
      <c r="D26" s="764"/>
      <c r="E26" s="773"/>
      <c r="F26" s="773"/>
      <c r="G26" s="707">
        <f>SUM(G27:G28)</f>
        <v>0</v>
      </c>
      <c r="H26" s="662"/>
      <c r="I26" s="662"/>
      <c r="J26" s="662"/>
      <c r="K26" s="662"/>
      <c r="L26" s="662"/>
      <c r="M26" s="662"/>
      <c r="N26" s="662"/>
      <c r="O26" s="662"/>
      <c r="P26" s="662"/>
      <c r="Q26" s="662"/>
      <c r="R26" s="662"/>
      <c r="S26" s="662"/>
      <c r="T26" s="662"/>
      <c r="U26" s="662"/>
      <c r="V26" s="662"/>
      <c r="W26" s="662"/>
      <c r="X26" s="662"/>
      <c r="Y26" s="662"/>
      <c r="Z26" s="662"/>
      <c r="AA26" s="662"/>
      <c r="AB26" s="662"/>
      <c r="AC26" s="662"/>
      <c r="AD26" s="662"/>
      <c r="AE26" s="662"/>
      <c r="AF26" s="662"/>
      <c r="AG26" s="662"/>
      <c r="AH26" s="662"/>
    </row>
    <row r="27" spans="1:43" s="642" customFormat="1">
      <c r="A27" s="956" t="s">
        <v>1434</v>
      </c>
      <c r="B27" s="1058" t="s">
        <v>546</v>
      </c>
      <c r="C27" s="788" t="s">
        <v>582</v>
      </c>
      <c r="D27" s="702"/>
      <c r="E27" s="774"/>
      <c r="F27" s="775"/>
      <c r="G27" s="711"/>
      <c r="AI27" s="594"/>
      <c r="AJ27" s="594"/>
      <c r="AK27" s="594"/>
      <c r="AL27" s="594"/>
      <c r="AM27" s="594"/>
      <c r="AN27" s="594"/>
      <c r="AO27" s="594"/>
      <c r="AP27" s="594"/>
      <c r="AQ27" s="594"/>
    </row>
    <row r="28" spans="1:43" s="642" customFormat="1">
      <c r="A28" s="714" t="s">
        <v>1435</v>
      </c>
      <c r="B28" s="966" t="s">
        <v>1116</v>
      </c>
      <c r="C28" s="963" t="s">
        <v>1115</v>
      </c>
      <c r="D28" s="737" t="s">
        <v>18</v>
      </c>
      <c r="E28" s="774">
        <v>50</v>
      </c>
      <c r="F28" s="771"/>
      <c r="G28" s="711">
        <f t="shared" si="1"/>
        <v>0</v>
      </c>
      <c r="AI28" s="594"/>
      <c r="AJ28" s="594"/>
      <c r="AK28" s="594"/>
      <c r="AL28" s="594"/>
      <c r="AM28" s="594"/>
      <c r="AN28" s="594"/>
      <c r="AO28" s="594"/>
      <c r="AP28" s="594"/>
      <c r="AQ28" s="594"/>
    </row>
    <row r="29" spans="1:43" s="592" customFormat="1">
      <c r="A29" s="715" t="s">
        <v>356</v>
      </c>
      <c r="B29" s="1056" t="s">
        <v>388</v>
      </c>
      <c r="C29" s="739"/>
      <c r="D29" s="739"/>
      <c r="E29" s="773"/>
      <c r="F29" s="773"/>
      <c r="G29" s="707">
        <f>SUM(G30:G30)</f>
        <v>0</v>
      </c>
      <c r="H29" s="662"/>
      <c r="I29" s="662"/>
      <c r="J29" s="662"/>
      <c r="K29" s="662"/>
      <c r="L29" s="662"/>
      <c r="M29" s="662"/>
      <c r="N29" s="662"/>
      <c r="O29" s="662"/>
      <c r="P29" s="662"/>
      <c r="Q29" s="662"/>
      <c r="R29" s="662"/>
      <c r="S29" s="662"/>
      <c r="T29" s="662"/>
      <c r="U29" s="662"/>
      <c r="V29" s="662"/>
      <c r="W29" s="662"/>
      <c r="X29" s="662"/>
      <c r="Y29" s="662"/>
      <c r="Z29" s="662"/>
      <c r="AA29" s="662"/>
      <c r="AB29" s="662"/>
      <c r="AC29" s="662"/>
      <c r="AD29" s="662"/>
      <c r="AE29" s="662"/>
      <c r="AF29" s="662"/>
      <c r="AG29" s="662"/>
      <c r="AH29" s="662"/>
    </row>
    <row r="30" spans="1:43" s="592" customFormat="1" ht="16.5" customHeight="1">
      <c r="A30" s="717" t="s">
        <v>1436</v>
      </c>
      <c r="B30" s="1062" t="s">
        <v>2551</v>
      </c>
      <c r="C30" s="740" t="str">
        <f>'1. KOLEKTORI'!C206</f>
        <v>2.8.13</v>
      </c>
      <c r="D30" s="740" t="s">
        <v>18</v>
      </c>
      <c r="E30" s="774">
        <v>50</v>
      </c>
      <c r="F30" s="771"/>
      <c r="G30" s="711">
        <f t="shared" ref="G30" si="2">E30*F30</f>
        <v>0</v>
      </c>
      <c r="H30" s="662"/>
      <c r="I30" s="662"/>
      <c r="J30" s="662"/>
      <c r="K30" s="662"/>
      <c r="L30" s="662"/>
      <c r="M30" s="662"/>
      <c r="N30" s="662"/>
      <c r="O30" s="662"/>
      <c r="P30" s="662"/>
      <c r="Q30" s="662"/>
      <c r="R30" s="662"/>
      <c r="S30" s="662"/>
      <c r="T30" s="662"/>
      <c r="U30" s="662"/>
      <c r="V30" s="662"/>
      <c r="W30" s="662"/>
      <c r="X30" s="662"/>
      <c r="Y30" s="662"/>
      <c r="Z30" s="662"/>
      <c r="AA30" s="662"/>
      <c r="AB30" s="662"/>
      <c r="AC30" s="662"/>
      <c r="AD30" s="662"/>
      <c r="AE30" s="662"/>
      <c r="AF30" s="662"/>
      <c r="AG30" s="662"/>
      <c r="AH30" s="662"/>
    </row>
    <row r="31" spans="1:43" s="1005" customFormat="1">
      <c r="A31" s="1006" t="s">
        <v>357</v>
      </c>
      <c r="B31" s="999" t="s">
        <v>1103</v>
      </c>
      <c r="C31" s="1000"/>
      <c r="D31" s="1000"/>
      <c r="E31" s="1002"/>
      <c r="F31" s="1003"/>
      <c r="G31" s="1004">
        <f t="shared" ref="G31" si="3">E31*F31</f>
        <v>0</v>
      </c>
      <c r="H31" s="641"/>
      <c r="I31" s="641"/>
      <c r="J31" s="641"/>
      <c r="K31" s="641"/>
      <c r="L31" s="641"/>
      <c r="M31" s="641"/>
      <c r="N31" s="641"/>
      <c r="O31" s="641"/>
      <c r="P31" s="641"/>
      <c r="Q31" s="641"/>
      <c r="R31" s="641"/>
      <c r="S31" s="641"/>
      <c r="T31" s="641"/>
      <c r="U31" s="641"/>
      <c r="V31" s="641"/>
      <c r="W31" s="641"/>
      <c r="X31" s="641"/>
      <c r="Y31" s="641"/>
      <c r="Z31" s="641"/>
      <c r="AA31" s="641"/>
      <c r="AB31" s="641"/>
      <c r="AC31" s="641"/>
      <c r="AD31" s="641"/>
      <c r="AE31" s="641"/>
      <c r="AF31" s="641"/>
      <c r="AG31" s="641"/>
      <c r="AH31" s="641"/>
    </row>
    <row r="32" spans="1:43" s="596" customFormat="1">
      <c r="A32" s="958" t="s">
        <v>1437</v>
      </c>
      <c r="B32" s="964" t="s">
        <v>1103</v>
      </c>
      <c r="C32" s="737"/>
      <c r="D32" s="737"/>
      <c r="E32" s="774"/>
      <c r="F32" s="775"/>
      <c r="G32" s="711"/>
      <c r="H32" s="664"/>
      <c r="I32" s="664"/>
      <c r="J32" s="664"/>
      <c r="K32" s="664"/>
      <c r="L32" s="664"/>
      <c r="M32" s="664"/>
      <c r="N32" s="664"/>
      <c r="O32" s="664"/>
      <c r="P32" s="664"/>
      <c r="Q32" s="664"/>
      <c r="R32" s="664"/>
      <c r="S32" s="664"/>
      <c r="T32" s="664"/>
      <c r="U32" s="664"/>
      <c r="V32" s="664"/>
      <c r="W32" s="664"/>
      <c r="X32" s="664"/>
      <c r="Y32" s="664"/>
      <c r="Z32" s="664"/>
      <c r="AA32" s="664"/>
      <c r="AB32" s="664"/>
      <c r="AC32" s="664"/>
      <c r="AD32" s="664"/>
      <c r="AE32" s="664"/>
      <c r="AF32" s="664"/>
      <c r="AG32" s="664"/>
      <c r="AH32" s="664"/>
    </row>
    <row r="33" spans="1:34" s="596" customFormat="1">
      <c r="A33" s="819" t="s">
        <v>1438</v>
      </c>
      <c r="B33" s="1036" t="s">
        <v>1105</v>
      </c>
      <c r="C33" s="1152" t="s">
        <v>2285</v>
      </c>
      <c r="D33" s="800" t="s">
        <v>11</v>
      </c>
      <c r="E33" s="774">
        <v>605</v>
      </c>
      <c r="F33" s="771"/>
      <c r="G33" s="711">
        <f t="shared" ref="G33:G49" si="4">E33*F33</f>
        <v>0</v>
      </c>
      <c r="H33" s="664"/>
      <c r="I33" s="664"/>
      <c r="J33" s="664"/>
      <c r="K33" s="664"/>
      <c r="L33" s="664"/>
      <c r="M33" s="664"/>
      <c r="N33" s="664"/>
      <c r="O33" s="664"/>
      <c r="P33" s="664"/>
      <c r="Q33" s="664"/>
      <c r="R33" s="664"/>
      <c r="S33" s="664"/>
      <c r="T33" s="664"/>
      <c r="U33" s="664"/>
      <c r="V33" s="664"/>
      <c r="W33" s="664"/>
      <c r="X33" s="664"/>
      <c r="Y33" s="664"/>
      <c r="Z33" s="664"/>
      <c r="AA33" s="664"/>
      <c r="AB33" s="664"/>
      <c r="AC33" s="664"/>
      <c r="AD33" s="664"/>
      <c r="AE33" s="664"/>
      <c r="AF33" s="664"/>
      <c r="AG33" s="664"/>
      <c r="AH33" s="664"/>
    </row>
    <row r="34" spans="1:34" s="596" customFormat="1">
      <c r="A34" s="819" t="s">
        <v>1439</v>
      </c>
      <c r="B34" s="1036" t="s">
        <v>1106</v>
      </c>
      <c r="C34" s="1152" t="s">
        <v>2286</v>
      </c>
      <c r="D34" s="800" t="s">
        <v>11</v>
      </c>
      <c r="E34" s="774">
        <v>148</v>
      </c>
      <c r="F34" s="771"/>
      <c r="G34" s="711">
        <f t="shared" si="4"/>
        <v>0</v>
      </c>
      <c r="H34" s="664"/>
      <c r="I34" s="664"/>
      <c r="J34" s="664"/>
      <c r="K34" s="664"/>
      <c r="L34" s="664"/>
      <c r="M34" s="664"/>
      <c r="N34" s="664"/>
      <c r="O34" s="664"/>
      <c r="P34" s="664"/>
      <c r="Q34" s="664"/>
      <c r="R34" s="664"/>
      <c r="S34" s="664"/>
      <c r="T34" s="664"/>
      <c r="U34" s="664"/>
      <c r="V34" s="664"/>
      <c r="W34" s="664"/>
      <c r="X34" s="664"/>
      <c r="Y34" s="664"/>
      <c r="Z34" s="664"/>
      <c r="AA34" s="664"/>
      <c r="AB34" s="664"/>
      <c r="AC34" s="664"/>
      <c r="AD34" s="664"/>
      <c r="AE34" s="664"/>
      <c r="AF34" s="664"/>
      <c r="AG34" s="664"/>
      <c r="AH34" s="664"/>
    </row>
    <row r="35" spans="1:34" s="596" customFormat="1">
      <c r="A35" s="819" t="s">
        <v>1440</v>
      </c>
      <c r="B35" s="1036" t="s">
        <v>1107</v>
      </c>
      <c r="C35" s="1152" t="s">
        <v>2287</v>
      </c>
      <c r="D35" s="800" t="s">
        <v>11</v>
      </c>
      <c r="E35" s="774">
        <v>616</v>
      </c>
      <c r="F35" s="771"/>
      <c r="G35" s="711">
        <f t="shared" si="4"/>
        <v>0</v>
      </c>
      <c r="H35" s="664"/>
      <c r="I35" s="664"/>
      <c r="J35" s="664"/>
      <c r="K35" s="664"/>
      <c r="L35" s="664"/>
      <c r="M35" s="664"/>
      <c r="N35" s="664"/>
      <c r="O35" s="664"/>
      <c r="P35" s="664"/>
      <c r="Q35" s="664"/>
      <c r="R35" s="664"/>
      <c r="S35" s="664"/>
      <c r="T35" s="664"/>
      <c r="U35" s="664"/>
      <c r="V35" s="664"/>
      <c r="W35" s="664"/>
      <c r="X35" s="664"/>
      <c r="Y35" s="664"/>
      <c r="Z35" s="664"/>
      <c r="AA35" s="664"/>
      <c r="AB35" s="664"/>
      <c r="AC35" s="664"/>
      <c r="AD35" s="664"/>
      <c r="AE35" s="664"/>
      <c r="AF35" s="664"/>
      <c r="AG35" s="664"/>
      <c r="AH35" s="664"/>
    </row>
    <row r="36" spans="1:34" s="596" customFormat="1">
      <c r="A36" s="819" t="s">
        <v>1441</v>
      </c>
      <c r="B36" s="1036" t="s">
        <v>2383</v>
      </c>
      <c r="C36" s="1152" t="s">
        <v>2288</v>
      </c>
      <c r="D36" s="800" t="s">
        <v>11</v>
      </c>
      <c r="E36" s="774">
        <v>125</v>
      </c>
      <c r="F36" s="771"/>
      <c r="G36" s="711">
        <f t="shared" si="4"/>
        <v>0</v>
      </c>
      <c r="H36" s="664"/>
      <c r="I36" s="664"/>
      <c r="J36" s="664"/>
      <c r="K36" s="664"/>
      <c r="L36" s="664"/>
      <c r="M36" s="664"/>
      <c r="N36" s="664"/>
      <c r="O36" s="664"/>
      <c r="P36" s="664"/>
      <c r="Q36" s="664"/>
      <c r="R36" s="664"/>
      <c r="S36" s="664"/>
      <c r="T36" s="664"/>
      <c r="U36" s="664"/>
      <c r="V36" s="664"/>
      <c r="W36" s="664"/>
      <c r="X36" s="664"/>
      <c r="Y36" s="664"/>
      <c r="Z36" s="664"/>
      <c r="AA36" s="664"/>
      <c r="AB36" s="664"/>
      <c r="AC36" s="664"/>
      <c r="AD36" s="664"/>
      <c r="AE36" s="664"/>
      <c r="AF36" s="664"/>
      <c r="AG36" s="664"/>
      <c r="AH36" s="664"/>
    </row>
    <row r="37" spans="1:34" s="596" customFormat="1">
      <c r="A37" s="958" t="s">
        <v>1442</v>
      </c>
      <c r="B37" s="964" t="s">
        <v>1109</v>
      </c>
      <c r="C37" s="1152" t="s">
        <v>2289</v>
      </c>
      <c r="D37" s="737" t="s">
        <v>18</v>
      </c>
      <c r="E37" s="774">
        <v>50</v>
      </c>
      <c r="F37" s="771"/>
      <c r="G37" s="711">
        <f t="shared" si="4"/>
        <v>0</v>
      </c>
      <c r="H37" s="664"/>
      <c r="I37" s="664"/>
      <c r="J37" s="664"/>
      <c r="K37" s="664"/>
      <c r="L37" s="664"/>
      <c r="M37" s="664"/>
      <c r="N37" s="664"/>
      <c r="O37" s="664"/>
      <c r="P37" s="664"/>
      <c r="Q37" s="664"/>
      <c r="R37" s="664"/>
      <c r="S37" s="664"/>
      <c r="T37" s="664"/>
      <c r="U37" s="664"/>
      <c r="V37" s="664"/>
      <c r="W37" s="664"/>
      <c r="X37" s="664"/>
      <c r="Y37" s="664"/>
      <c r="Z37" s="664"/>
      <c r="AA37" s="664"/>
      <c r="AB37" s="664"/>
      <c r="AC37" s="664"/>
      <c r="AD37" s="664"/>
      <c r="AE37" s="664"/>
      <c r="AF37" s="664"/>
      <c r="AG37" s="664"/>
      <c r="AH37" s="664"/>
    </row>
    <row r="38" spans="1:34" s="596" customFormat="1">
      <c r="A38" s="958" t="s">
        <v>1443</v>
      </c>
      <c r="B38" s="964" t="s">
        <v>1110</v>
      </c>
      <c r="C38" s="1152" t="s">
        <v>2290</v>
      </c>
      <c r="D38" s="737" t="s">
        <v>18</v>
      </c>
      <c r="E38" s="774">
        <v>20</v>
      </c>
      <c r="F38" s="771"/>
      <c r="G38" s="711">
        <f t="shared" si="4"/>
        <v>0</v>
      </c>
      <c r="H38" s="664"/>
      <c r="I38" s="664"/>
      <c r="J38" s="664"/>
      <c r="K38" s="664"/>
      <c r="L38" s="664"/>
      <c r="M38" s="664"/>
      <c r="N38" s="664"/>
      <c r="O38" s="664"/>
      <c r="P38" s="664"/>
      <c r="Q38" s="664"/>
      <c r="R38" s="664"/>
      <c r="S38" s="664"/>
      <c r="T38" s="664"/>
      <c r="U38" s="664"/>
      <c r="V38" s="664"/>
      <c r="W38" s="664"/>
      <c r="X38" s="664"/>
      <c r="Y38" s="664"/>
      <c r="Z38" s="664"/>
      <c r="AA38" s="664"/>
      <c r="AB38" s="664"/>
      <c r="AC38" s="664"/>
      <c r="AD38" s="664"/>
      <c r="AE38" s="664"/>
      <c r="AF38" s="664"/>
      <c r="AG38" s="664"/>
      <c r="AH38" s="664"/>
    </row>
    <row r="39" spans="1:34" s="596" customFormat="1">
      <c r="A39" s="958" t="s">
        <v>1444</v>
      </c>
      <c r="B39" s="964" t="s">
        <v>1111</v>
      </c>
      <c r="C39" s="1431" t="s">
        <v>2552</v>
      </c>
      <c r="D39" s="737"/>
      <c r="E39" s="774"/>
      <c r="F39" s="775"/>
      <c r="G39" s="711"/>
      <c r="H39" s="664"/>
      <c r="I39" s="664"/>
      <c r="J39" s="664"/>
      <c r="K39" s="664"/>
      <c r="L39" s="664"/>
      <c r="M39" s="664"/>
      <c r="N39" s="664"/>
      <c r="O39" s="664"/>
      <c r="P39" s="664"/>
      <c r="Q39" s="664"/>
      <c r="R39" s="664"/>
      <c r="S39" s="664"/>
      <c r="T39" s="664"/>
      <c r="U39" s="664"/>
      <c r="V39" s="664"/>
      <c r="W39" s="664"/>
      <c r="X39" s="664"/>
      <c r="Y39" s="664"/>
      <c r="Z39" s="664"/>
      <c r="AA39" s="664"/>
      <c r="AB39" s="664"/>
      <c r="AC39" s="664"/>
      <c r="AD39" s="664"/>
      <c r="AE39" s="664"/>
      <c r="AF39" s="664"/>
      <c r="AG39" s="664"/>
      <c r="AH39" s="664"/>
    </row>
    <row r="40" spans="1:34" s="596" customFormat="1">
      <c r="A40" s="819" t="s">
        <v>1445</v>
      </c>
      <c r="B40" s="1036" t="s">
        <v>1113</v>
      </c>
      <c r="C40" s="1152"/>
      <c r="D40" s="800" t="s">
        <v>18</v>
      </c>
      <c r="E40" s="774">
        <v>65</v>
      </c>
      <c r="F40" s="771"/>
      <c r="G40" s="711">
        <f t="shared" si="4"/>
        <v>0</v>
      </c>
      <c r="H40" s="664"/>
      <c r="I40" s="664"/>
      <c r="J40" s="664"/>
      <c r="K40" s="664"/>
      <c r="L40" s="664"/>
      <c r="M40" s="664"/>
      <c r="N40" s="664"/>
      <c r="O40" s="664"/>
      <c r="P40" s="664"/>
      <c r="Q40" s="664"/>
      <c r="R40" s="664"/>
      <c r="S40" s="664"/>
      <c r="T40" s="664"/>
      <c r="U40" s="664"/>
      <c r="V40" s="664"/>
      <c r="W40" s="664"/>
      <c r="X40" s="664"/>
      <c r="Y40" s="664"/>
      <c r="Z40" s="664"/>
      <c r="AA40" s="664"/>
      <c r="AB40" s="664"/>
      <c r="AC40" s="664"/>
      <c r="AD40" s="664"/>
      <c r="AE40" s="664"/>
      <c r="AF40" s="664"/>
      <c r="AG40" s="664"/>
      <c r="AH40" s="664"/>
    </row>
    <row r="41" spans="1:34" s="596" customFormat="1">
      <c r="A41" s="819" t="s">
        <v>1446</v>
      </c>
      <c r="B41" s="1036" t="s">
        <v>1114</v>
      </c>
      <c r="C41" s="1152"/>
      <c r="D41" s="800" t="s">
        <v>18</v>
      </c>
      <c r="E41" s="774">
        <v>80</v>
      </c>
      <c r="F41" s="771"/>
      <c r="G41" s="711">
        <f t="shared" si="4"/>
        <v>0</v>
      </c>
      <c r="H41" s="664"/>
      <c r="I41" s="664"/>
      <c r="J41" s="664"/>
      <c r="K41" s="664"/>
      <c r="L41" s="664"/>
      <c r="M41" s="664"/>
      <c r="N41" s="664"/>
      <c r="O41" s="664"/>
      <c r="P41" s="664"/>
      <c r="Q41" s="664"/>
      <c r="R41" s="664"/>
      <c r="S41" s="664"/>
      <c r="T41" s="664"/>
      <c r="U41" s="664"/>
      <c r="V41" s="664"/>
      <c r="W41" s="664"/>
      <c r="X41" s="664"/>
      <c r="Y41" s="664"/>
      <c r="Z41" s="664"/>
      <c r="AA41" s="664"/>
      <c r="AB41" s="664"/>
      <c r="AC41" s="664"/>
      <c r="AD41" s="664"/>
      <c r="AE41" s="664"/>
      <c r="AF41" s="664"/>
      <c r="AG41" s="664"/>
      <c r="AH41" s="664"/>
    </row>
    <row r="42" spans="1:34" s="592" customFormat="1">
      <c r="A42" s="715" t="s">
        <v>1447</v>
      </c>
      <c r="B42" s="1056" t="s">
        <v>348</v>
      </c>
      <c r="C42" s="739" t="s">
        <v>383</v>
      </c>
      <c r="D42" s="739"/>
      <c r="E42" s="773"/>
      <c r="F42" s="773"/>
      <c r="G42" s="707">
        <f>SUM(G43:G49)</f>
        <v>0</v>
      </c>
      <c r="H42" s="662"/>
      <c r="I42" s="662"/>
      <c r="J42" s="662"/>
      <c r="K42" s="662"/>
      <c r="L42" s="662"/>
      <c r="M42" s="662"/>
      <c r="N42" s="662"/>
      <c r="O42" s="662"/>
      <c r="P42" s="662"/>
      <c r="Q42" s="662"/>
      <c r="R42" s="662"/>
      <c r="S42" s="662"/>
      <c r="T42" s="662"/>
      <c r="U42" s="662"/>
      <c r="V42" s="662"/>
      <c r="W42" s="662"/>
      <c r="X42" s="662"/>
      <c r="Y42" s="662"/>
      <c r="Z42" s="662"/>
      <c r="AA42" s="662"/>
      <c r="AB42" s="662"/>
      <c r="AC42" s="662"/>
      <c r="AD42" s="662"/>
      <c r="AE42" s="662"/>
      <c r="AF42" s="662"/>
      <c r="AG42" s="662"/>
      <c r="AH42" s="662"/>
    </row>
    <row r="43" spans="1:34" s="599" customFormat="1">
      <c r="A43" s="956" t="s">
        <v>1448</v>
      </c>
      <c r="B43" s="1055" t="s">
        <v>424</v>
      </c>
      <c r="C43" s="702" t="s">
        <v>435</v>
      </c>
      <c r="D43" s="702" t="s">
        <v>11</v>
      </c>
      <c r="E43" s="774">
        <v>3860</v>
      </c>
      <c r="F43" s="771"/>
      <c r="G43" s="711">
        <f t="shared" si="4"/>
        <v>0</v>
      </c>
      <c r="H43" s="683"/>
      <c r="I43" s="683"/>
      <c r="J43" s="683"/>
      <c r="K43" s="683"/>
      <c r="L43" s="683"/>
      <c r="M43" s="683"/>
      <c r="N43" s="683"/>
      <c r="O43" s="683"/>
      <c r="P43" s="683"/>
      <c r="Q43" s="683"/>
      <c r="R43" s="683"/>
      <c r="S43" s="683"/>
      <c r="T43" s="683"/>
      <c r="U43" s="683"/>
      <c r="V43" s="683"/>
      <c r="W43" s="683"/>
      <c r="X43" s="683"/>
      <c r="Y43" s="683"/>
      <c r="Z43" s="683"/>
      <c r="AA43" s="683"/>
      <c r="AB43" s="683"/>
      <c r="AC43" s="683"/>
      <c r="AD43" s="683"/>
      <c r="AE43" s="683"/>
      <c r="AF43" s="683"/>
      <c r="AG43" s="683"/>
      <c r="AH43" s="683"/>
    </row>
    <row r="44" spans="1:34" s="599" customFormat="1">
      <c r="A44" s="956" t="s">
        <v>1449</v>
      </c>
      <c r="B44" s="1055" t="s">
        <v>423</v>
      </c>
      <c r="C44" s="702" t="s">
        <v>1013</v>
      </c>
      <c r="D44" s="702" t="s">
        <v>18</v>
      </c>
      <c r="E44" s="774">
        <v>1</v>
      </c>
      <c r="F44" s="771"/>
      <c r="G44" s="711">
        <f t="shared" si="4"/>
        <v>0</v>
      </c>
      <c r="H44" s="683"/>
      <c r="I44" s="683"/>
      <c r="J44" s="683"/>
      <c r="K44" s="683"/>
      <c r="L44" s="683"/>
      <c r="M44" s="683"/>
      <c r="N44" s="683"/>
      <c r="O44" s="683"/>
      <c r="P44" s="683"/>
      <c r="Q44" s="683"/>
      <c r="R44" s="683"/>
      <c r="S44" s="683"/>
      <c r="T44" s="683"/>
      <c r="U44" s="683"/>
      <c r="V44" s="683"/>
      <c r="W44" s="683"/>
      <c r="X44" s="683"/>
      <c r="Y44" s="683"/>
      <c r="Z44" s="683"/>
      <c r="AA44" s="683"/>
      <c r="AB44" s="683"/>
      <c r="AC44" s="683"/>
      <c r="AD44" s="683"/>
      <c r="AE44" s="683"/>
      <c r="AF44" s="683"/>
      <c r="AG44" s="683"/>
      <c r="AH44" s="683"/>
    </row>
    <row r="45" spans="1:34" s="596" customFormat="1">
      <c r="A45" s="956" t="s">
        <v>1450</v>
      </c>
      <c r="B45" s="1057" t="s">
        <v>1104</v>
      </c>
      <c r="C45" s="702" t="s">
        <v>2284</v>
      </c>
      <c r="D45" s="702" t="s">
        <v>18</v>
      </c>
      <c r="E45" s="774">
        <v>7</v>
      </c>
      <c r="F45" s="771"/>
      <c r="G45" s="711">
        <f t="shared" si="4"/>
        <v>0</v>
      </c>
      <c r="H45" s="664"/>
      <c r="I45" s="664"/>
      <c r="J45" s="664"/>
      <c r="K45" s="664"/>
      <c r="L45" s="664"/>
      <c r="M45" s="664"/>
      <c r="N45" s="664"/>
      <c r="O45" s="664"/>
      <c r="P45" s="664"/>
      <c r="Q45" s="664"/>
      <c r="R45" s="664"/>
      <c r="S45" s="664"/>
      <c r="T45" s="664"/>
      <c r="U45" s="664"/>
      <c r="V45" s="664"/>
      <c r="W45" s="664"/>
      <c r="X45" s="664"/>
      <c r="Y45" s="664"/>
      <c r="Z45" s="664"/>
      <c r="AA45" s="664"/>
      <c r="AB45" s="664"/>
      <c r="AC45" s="664"/>
      <c r="AD45" s="664"/>
      <c r="AE45" s="664"/>
      <c r="AF45" s="664"/>
      <c r="AG45" s="664"/>
      <c r="AH45" s="664"/>
    </row>
    <row r="46" spans="1:34" s="600" customFormat="1">
      <c r="A46" s="956" t="s">
        <v>1451</v>
      </c>
      <c r="B46" s="1055" t="s">
        <v>421</v>
      </c>
      <c r="C46" s="823"/>
      <c r="D46" s="702"/>
      <c r="E46" s="774"/>
      <c r="F46" s="775"/>
      <c r="G46" s="711"/>
      <c r="H46" s="682"/>
      <c r="I46" s="682"/>
      <c r="J46" s="682"/>
      <c r="K46" s="682"/>
      <c r="L46" s="682"/>
      <c r="M46" s="682"/>
      <c r="N46" s="682"/>
      <c r="O46" s="682"/>
      <c r="P46" s="682"/>
      <c r="Q46" s="682"/>
      <c r="R46" s="682"/>
      <c r="S46" s="682"/>
      <c r="T46" s="682"/>
      <c r="U46" s="682"/>
      <c r="V46" s="682"/>
      <c r="W46" s="682"/>
      <c r="X46" s="682"/>
      <c r="Y46" s="682"/>
      <c r="Z46" s="682"/>
      <c r="AA46" s="682"/>
      <c r="AB46" s="682"/>
      <c r="AC46" s="682"/>
      <c r="AD46" s="682"/>
      <c r="AE46" s="682"/>
      <c r="AF46" s="682"/>
      <c r="AG46" s="682"/>
      <c r="AH46" s="682"/>
    </row>
    <row r="47" spans="1:34" s="600" customFormat="1">
      <c r="A47" s="1099" t="s">
        <v>1452</v>
      </c>
      <c r="B47" s="948" t="s">
        <v>499</v>
      </c>
      <c r="C47" s="800" t="s">
        <v>415</v>
      </c>
      <c r="D47" s="800" t="s">
        <v>11</v>
      </c>
      <c r="E47" s="774">
        <v>1930</v>
      </c>
      <c r="F47" s="771"/>
      <c r="G47" s="711">
        <f t="shared" si="4"/>
        <v>0</v>
      </c>
      <c r="H47" s="682"/>
      <c r="I47" s="682"/>
      <c r="J47" s="682"/>
      <c r="K47" s="682"/>
      <c r="L47" s="682"/>
      <c r="M47" s="682"/>
      <c r="N47" s="682"/>
      <c r="O47" s="682"/>
      <c r="P47" s="682"/>
      <c r="Q47" s="682"/>
      <c r="R47" s="682"/>
      <c r="S47" s="682"/>
      <c r="T47" s="682"/>
      <c r="U47" s="682"/>
      <c r="V47" s="682"/>
      <c r="W47" s="682"/>
      <c r="X47" s="682"/>
      <c r="Y47" s="682"/>
      <c r="Z47" s="682"/>
      <c r="AA47" s="682"/>
      <c r="AB47" s="682"/>
      <c r="AC47" s="682"/>
      <c r="AD47" s="682"/>
      <c r="AE47" s="682"/>
      <c r="AF47" s="682"/>
      <c r="AG47" s="682"/>
      <c r="AH47" s="682"/>
    </row>
    <row r="48" spans="1:34" s="600" customFormat="1">
      <c r="A48" s="1099" t="s">
        <v>1453</v>
      </c>
      <c r="B48" s="948" t="s">
        <v>500</v>
      </c>
      <c r="C48" s="800" t="s">
        <v>415</v>
      </c>
      <c r="D48" s="800" t="s">
        <v>18</v>
      </c>
      <c r="E48" s="774">
        <v>65</v>
      </c>
      <c r="F48" s="771"/>
      <c r="G48" s="711">
        <f t="shared" si="4"/>
        <v>0</v>
      </c>
      <c r="H48" s="682"/>
      <c r="I48" s="682"/>
      <c r="J48" s="682"/>
      <c r="K48" s="682"/>
      <c r="L48" s="682"/>
      <c r="M48" s="682"/>
      <c r="N48" s="682"/>
      <c r="O48" s="682"/>
      <c r="P48" s="682"/>
      <c r="Q48" s="682"/>
      <c r="R48" s="682"/>
      <c r="S48" s="682"/>
      <c r="T48" s="682"/>
      <c r="U48" s="682"/>
      <c r="V48" s="682"/>
      <c r="W48" s="682"/>
      <c r="X48" s="682"/>
      <c r="Y48" s="682"/>
      <c r="Z48" s="682"/>
      <c r="AA48" s="682"/>
      <c r="AB48" s="682"/>
      <c r="AC48" s="682"/>
      <c r="AD48" s="682"/>
      <c r="AE48" s="682"/>
      <c r="AF48" s="682"/>
      <c r="AG48" s="682"/>
      <c r="AH48" s="682"/>
    </row>
    <row r="49" spans="1:34" s="600" customFormat="1">
      <c r="A49" s="1099" t="s">
        <v>1454</v>
      </c>
      <c r="B49" s="948" t="s">
        <v>1117</v>
      </c>
      <c r="C49" s="800" t="s">
        <v>415</v>
      </c>
      <c r="D49" s="800" t="s">
        <v>18</v>
      </c>
      <c r="E49" s="774">
        <v>80</v>
      </c>
      <c r="F49" s="771"/>
      <c r="G49" s="711">
        <f t="shared" si="4"/>
        <v>0</v>
      </c>
      <c r="H49" s="682"/>
      <c r="I49" s="682"/>
      <c r="J49" s="682"/>
      <c r="K49" s="682"/>
      <c r="L49" s="682"/>
      <c r="M49" s="682"/>
      <c r="N49" s="682"/>
      <c r="O49" s="682"/>
      <c r="P49" s="682"/>
      <c r="Q49" s="682"/>
      <c r="R49" s="682"/>
      <c r="S49" s="682"/>
      <c r="T49" s="682"/>
      <c r="U49" s="682"/>
      <c r="V49" s="682"/>
      <c r="W49" s="682"/>
      <c r="X49" s="682"/>
      <c r="Y49" s="682"/>
      <c r="Z49" s="682"/>
      <c r="AA49" s="682"/>
      <c r="AB49" s="682"/>
      <c r="AC49" s="682"/>
      <c r="AD49" s="682"/>
      <c r="AE49" s="682"/>
      <c r="AF49" s="682"/>
      <c r="AG49" s="682"/>
      <c r="AH49" s="682"/>
    </row>
    <row r="50" spans="1:34" s="642" customFormat="1">
      <c r="A50" s="959"/>
      <c r="B50" s="685"/>
      <c r="C50" s="950"/>
      <c r="D50" s="950"/>
      <c r="E50" s="777"/>
      <c r="F50" s="777"/>
      <c r="G50" s="770"/>
    </row>
    <row r="51" spans="1:34" s="642" customFormat="1">
      <c r="A51" s="959"/>
      <c r="B51" s="685"/>
      <c r="C51" s="950"/>
      <c r="D51" s="950"/>
      <c r="E51" s="777"/>
      <c r="F51" s="777"/>
      <c r="G51" s="770"/>
    </row>
    <row r="52" spans="1:34" s="642" customFormat="1">
      <c r="A52" s="959"/>
      <c r="B52" s="685"/>
      <c r="C52" s="950"/>
      <c r="D52" s="950"/>
      <c r="E52" s="777"/>
      <c r="F52" s="777"/>
      <c r="G52" s="770"/>
    </row>
    <row r="53" spans="1:34" s="642" customFormat="1">
      <c r="A53" s="959"/>
      <c r="B53" s="685"/>
      <c r="C53" s="950"/>
      <c r="D53" s="950"/>
      <c r="G53" s="672"/>
    </row>
    <row r="54" spans="1:34" s="642" customFormat="1">
      <c r="A54" s="959"/>
      <c r="B54" s="685"/>
      <c r="C54" s="950"/>
      <c r="D54" s="950"/>
      <c r="G54" s="672"/>
    </row>
    <row r="55" spans="1:34" s="642" customFormat="1">
      <c r="A55" s="959"/>
      <c r="B55" s="685"/>
      <c r="C55" s="950"/>
      <c r="D55" s="950"/>
      <c r="G55" s="672"/>
    </row>
    <row r="56" spans="1:34" s="642" customFormat="1">
      <c r="A56" s="959"/>
      <c r="B56" s="685"/>
      <c r="C56" s="950"/>
      <c r="D56" s="950"/>
      <c r="G56" s="672"/>
    </row>
    <row r="57" spans="1:34" s="642" customFormat="1">
      <c r="A57" s="959"/>
      <c r="B57" s="685"/>
      <c r="C57" s="950"/>
      <c r="D57" s="950"/>
      <c r="G57" s="672"/>
    </row>
    <row r="58" spans="1:34" s="642" customFormat="1">
      <c r="A58" s="959"/>
      <c r="B58" s="685"/>
      <c r="C58" s="950"/>
      <c r="D58" s="950"/>
      <c r="G58" s="672"/>
    </row>
    <row r="59" spans="1:34" s="642" customFormat="1">
      <c r="A59" s="959"/>
      <c r="B59" s="685"/>
      <c r="C59" s="950"/>
      <c r="D59" s="950"/>
      <c r="G59" s="672"/>
    </row>
    <row r="60" spans="1:34" s="642" customFormat="1">
      <c r="A60" s="959"/>
      <c r="B60" s="685"/>
      <c r="C60" s="950"/>
      <c r="D60" s="950"/>
      <c r="G60" s="672"/>
    </row>
    <row r="61" spans="1:34" s="642" customFormat="1">
      <c r="A61" s="959"/>
      <c r="B61" s="685"/>
      <c r="C61" s="950"/>
      <c r="D61" s="950"/>
      <c r="G61" s="672"/>
    </row>
    <row r="62" spans="1:34" s="642" customFormat="1">
      <c r="A62" s="959"/>
      <c r="B62" s="685"/>
      <c r="C62" s="950"/>
      <c r="D62" s="950"/>
      <c r="G62" s="672"/>
    </row>
    <row r="63" spans="1:34" s="642" customFormat="1">
      <c r="A63" s="959"/>
      <c r="B63" s="685"/>
      <c r="C63" s="950"/>
      <c r="D63" s="950"/>
      <c r="G63" s="672"/>
    </row>
    <row r="64" spans="1:34" s="642" customFormat="1">
      <c r="A64" s="959"/>
      <c r="B64" s="685"/>
      <c r="C64" s="950"/>
      <c r="D64" s="950"/>
      <c r="G64" s="672"/>
    </row>
    <row r="65" spans="1:7" s="642" customFormat="1">
      <c r="A65" s="959"/>
      <c r="B65" s="685"/>
      <c r="C65" s="950"/>
      <c r="D65" s="950"/>
      <c r="G65" s="672"/>
    </row>
    <row r="66" spans="1:7" s="642" customFormat="1">
      <c r="A66" s="959"/>
      <c r="B66" s="685"/>
      <c r="C66" s="950"/>
      <c r="D66" s="950"/>
      <c r="G66" s="672"/>
    </row>
    <row r="67" spans="1:7" s="642" customFormat="1">
      <c r="A67" s="959"/>
      <c r="B67" s="685"/>
      <c r="C67" s="950"/>
      <c r="D67" s="950"/>
      <c r="G67" s="672"/>
    </row>
    <row r="68" spans="1:7" s="642" customFormat="1">
      <c r="A68" s="959"/>
      <c r="B68" s="685"/>
      <c r="C68" s="950"/>
      <c r="D68" s="950"/>
      <c r="G68" s="672"/>
    </row>
    <row r="69" spans="1:7" s="642" customFormat="1">
      <c r="A69" s="959"/>
      <c r="B69" s="685"/>
      <c r="C69" s="950"/>
      <c r="D69" s="950"/>
      <c r="G69" s="672"/>
    </row>
    <row r="70" spans="1:7" s="642" customFormat="1">
      <c r="A70" s="959"/>
      <c r="B70" s="685"/>
      <c r="C70" s="950"/>
      <c r="D70" s="950"/>
      <c r="G70" s="672"/>
    </row>
    <row r="71" spans="1:7" s="642" customFormat="1">
      <c r="A71" s="959"/>
      <c r="B71" s="685"/>
      <c r="C71" s="950"/>
      <c r="D71" s="950"/>
      <c r="G71" s="672"/>
    </row>
    <row r="72" spans="1:7" s="642" customFormat="1">
      <c r="A72" s="959"/>
      <c r="B72" s="685"/>
      <c r="C72" s="950"/>
      <c r="D72" s="950"/>
      <c r="G72" s="672"/>
    </row>
    <row r="73" spans="1:7" s="642" customFormat="1">
      <c r="A73" s="959"/>
      <c r="B73" s="685"/>
      <c r="C73" s="950"/>
      <c r="D73" s="950"/>
      <c r="G73" s="672"/>
    </row>
    <row r="74" spans="1:7" s="642" customFormat="1">
      <c r="A74" s="959"/>
      <c r="B74" s="685"/>
      <c r="C74" s="950"/>
      <c r="D74" s="950"/>
      <c r="G74" s="672"/>
    </row>
    <row r="75" spans="1:7" s="642" customFormat="1">
      <c r="A75" s="959"/>
      <c r="B75" s="685"/>
      <c r="C75" s="950"/>
      <c r="D75" s="950"/>
      <c r="G75" s="672"/>
    </row>
    <row r="76" spans="1:7" s="642" customFormat="1">
      <c r="A76" s="959"/>
      <c r="B76" s="685"/>
      <c r="C76" s="950"/>
      <c r="D76" s="950"/>
      <c r="G76" s="672"/>
    </row>
    <row r="77" spans="1:7" s="642" customFormat="1">
      <c r="A77" s="959"/>
      <c r="B77" s="685"/>
      <c r="C77" s="950"/>
      <c r="D77" s="950"/>
      <c r="G77" s="672"/>
    </row>
    <row r="78" spans="1:7" s="642" customFormat="1">
      <c r="A78" s="959"/>
      <c r="B78" s="685"/>
      <c r="C78" s="950"/>
      <c r="D78" s="950"/>
      <c r="G78" s="672"/>
    </row>
    <row r="79" spans="1:7" s="642" customFormat="1">
      <c r="A79" s="959"/>
      <c r="B79" s="685"/>
      <c r="C79" s="950"/>
      <c r="D79" s="950"/>
      <c r="G79" s="672"/>
    </row>
    <row r="80" spans="1:7" s="642" customFormat="1">
      <c r="A80" s="959"/>
      <c r="B80" s="685"/>
      <c r="C80" s="950"/>
      <c r="D80" s="950"/>
      <c r="G80" s="672"/>
    </row>
    <row r="81" spans="1:7" s="642" customFormat="1">
      <c r="A81" s="959"/>
      <c r="B81" s="685"/>
      <c r="C81" s="950"/>
      <c r="D81" s="950"/>
      <c r="G81" s="672"/>
    </row>
    <row r="82" spans="1:7" s="642" customFormat="1">
      <c r="A82" s="959"/>
      <c r="B82" s="685"/>
      <c r="C82" s="950"/>
      <c r="D82" s="950"/>
      <c r="G82" s="672"/>
    </row>
    <row r="83" spans="1:7" s="642" customFormat="1">
      <c r="A83" s="959"/>
      <c r="B83" s="685"/>
      <c r="C83" s="950"/>
      <c r="D83" s="950"/>
      <c r="G83" s="672"/>
    </row>
    <row r="84" spans="1:7" s="642" customFormat="1">
      <c r="A84" s="959"/>
      <c r="B84" s="685"/>
      <c r="C84" s="950"/>
      <c r="D84" s="950"/>
      <c r="G84" s="672"/>
    </row>
    <row r="85" spans="1:7" s="642" customFormat="1">
      <c r="A85" s="959"/>
      <c r="B85" s="685"/>
      <c r="C85" s="950"/>
      <c r="D85" s="950"/>
      <c r="G85" s="672"/>
    </row>
    <row r="86" spans="1:7" s="642" customFormat="1">
      <c r="A86" s="959"/>
      <c r="B86" s="685"/>
      <c r="C86" s="950"/>
      <c r="D86" s="950"/>
      <c r="G86" s="672"/>
    </row>
    <row r="87" spans="1:7" s="642" customFormat="1">
      <c r="A87" s="959"/>
      <c r="B87" s="685"/>
      <c r="C87" s="950"/>
      <c r="D87" s="950"/>
      <c r="G87" s="672"/>
    </row>
    <row r="88" spans="1:7" s="642" customFormat="1">
      <c r="A88" s="959"/>
      <c r="B88" s="685"/>
      <c r="C88" s="950"/>
      <c r="D88" s="950"/>
      <c r="G88" s="672"/>
    </row>
    <row r="89" spans="1:7" s="642" customFormat="1">
      <c r="A89" s="959"/>
      <c r="B89" s="685"/>
      <c r="C89" s="950"/>
      <c r="D89" s="950"/>
      <c r="G89" s="672"/>
    </row>
    <row r="90" spans="1:7" s="642" customFormat="1">
      <c r="A90" s="959"/>
      <c r="B90" s="685"/>
      <c r="C90" s="950"/>
      <c r="D90" s="950"/>
      <c r="G90" s="672"/>
    </row>
    <row r="91" spans="1:7" s="642" customFormat="1">
      <c r="A91" s="959"/>
      <c r="B91" s="685"/>
      <c r="C91" s="950"/>
      <c r="D91" s="950"/>
      <c r="G91" s="672"/>
    </row>
    <row r="92" spans="1:7" s="642" customFormat="1">
      <c r="A92" s="959"/>
      <c r="B92" s="685"/>
      <c r="C92" s="950"/>
      <c r="D92" s="950"/>
      <c r="G92" s="672"/>
    </row>
    <row r="93" spans="1:7" s="642" customFormat="1">
      <c r="A93" s="959"/>
      <c r="B93" s="685"/>
      <c r="C93" s="950"/>
      <c r="D93" s="950"/>
      <c r="G93" s="672"/>
    </row>
    <row r="94" spans="1:7" s="642" customFormat="1">
      <c r="A94" s="959"/>
      <c r="B94" s="685"/>
      <c r="C94" s="950"/>
      <c r="D94" s="950"/>
      <c r="G94" s="672"/>
    </row>
    <row r="95" spans="1:7" s="642" customFormat="1">
      <c r="A95" s="959"/>
      <c r="B95" s="685"/>
      <c r="C95" s="950"/>
      <c r="D95" s="950"/>
      <c r="G95" s="672"/>
    </row>
    <row r="96" spans="1:7" s="642" customFormat="1">
      <c r="A96" s="959"/>
      <c r="B96" s="685"/>
      <c r="C96" s="950"/>
      <c r="D96" s="950"/>
      <c r="G96" s="672"/>
    </row>
    <row r="97" spans="1:7" s="642" customFormat="1">
      <c r="A97" s="959"/>
      <c r="B97" s="685"/>
      <c r="C97" s="950"/>
      <c r="D97" s="950"/>
      <c r="G97" s="672"/>
    </row>
    <row r="98" spans="1:7" s="642" customFormat="1">
      <c r="A98" s="959"/>
      <c r="B98" s="685"/>
      <c r="C98" s="950"/>
      <c r="D98" s="950"/>
      <c r="G98" s="672"/>
    </row>
    <row r="99" spans="1:7" s="642" customFormat="1">
      <c r="A99" s="959"/>
      <c r="B99" s="685"/>
      <c r="C99" s="950"/>
      <c r="D99" s="950"/>
      <c r="G99" s="672"/>
    </row>
    <row r="100" spans="1:7" s="642" customFormat="1">
      <c r="A100" s="959"/>
      <c r="B100" s="685"/>
      <c r="C100" s="950"/>
      <c r="D100" s="950"/>
      <c r="G100" s="672"/>
    </row>
    <row r="101" spans="1:7" s="642" customFormat="1">
      <c r="A101" s="959"/>
      <c r="B101" s="685"/>
      <c r="C101" s="950"/>
      <c r="D101" s="950"/>
      <c r="G101" s="672"/>
    </row>
    <row r="102" spans="1:7" s="642" customFormat="1">
      <c r="A102" s="959"/>
      <c r="B102" s="685"/>
      <c r="C102" s="950"/>
      <c r="D102" s="950"/>
      <c r="G102" s="672"/>
    </row>
    <row r="103" spans="1:7" s="642" customFormat="1">
      <c r="A103" s="959"/>
      <c r="B103" s="685"/>
      <c r="C103" s="950"/>
      <c r="D103" s="950"/>
      <c r="G103" s="672"/>
    </row>
    <row r="104" spans="1:7" s="642" customFormat="1">
      <c r="A104" s="959"/>
      <c r="B104" s="685"/>
      <c r="C104" s="950"/>
      <c r="D104" s="950"/>
      <c r="G104" s="672"/>
    </row>
    <row r="105" spans="1:7" s="642" customFormat="1">
      <c r="A105" s="959"/>
      <c r="B105" s="685"/>
      <c r="C105" s="950"/>
      <c r="D105" s="950"/>
      <c r="G105" s="672"/>
    </row>
    <row r="106" spans="1:7" s="642" customFormat="1">
      <c r="A106" s="959"/>
      <c r="B106" s="685"/>
      <c r="C106" s="950"/>
      <c r="D106" s="950"/>
      <c r="G106" s="672"/>
    </row>
    <row r="107" spans="1:7" s="642" customFormat="1">
      <c r="A107" s="959"/>
      <c r="B107" s="685"/>
      <c r="C107" s="950"/>
      <c r="D107" s="950"/>
      <c r="G107" s="672"/>
    </row>
    <row r="108" spans="1:7" s="642" customFormat="1">
      <c r="A108" s="959"/>
      <c r="B108" s="685"/>
      <c r="C108" s="950"/>
      <c r="D108" s="950"/>
      <c r="G108" s="672"/>
    </row>
    <row r="109" spans="1:7" s="642" customFormat="1">
      <c r="A109" s="959"/>
      <c r="B109" s="685"/>
      <c r="C109" s="950"/>
      <c r="D109" s="950"/>
      <c r="G109" s="672"/>
    </row>
    <row r="110" spans="1:7" s="642" customFormat="1">
      <c r="A110" s="959"/>
      <c r="B110" s="685"/>
      <c r="C110" s="950"/>
      <c r="D110" s="950"/>
      <c r="G110" s="672"/>
    </row>
    <row r="111" spans="1:7" s="642" customFormat="1">
      <c r="A111" s="959"/>
      <c r="B111" s="685"/>
      <c r="C111" s="950"/>
      <c r="D111" s="950"/>
      <c r="G111" s="672"/>
    </row>
    <row r="112" spans="1:7" s="642" customFormat="1">
      <c r="A112" s="959"/>
      <c r="B112" s="685"/>
      <c r="C112" s="950"/>
      <c r="D112" s="950"/>
      <c r="G112" s="672"/>
    </row>
    <row r="113" spans="1:7" s="642" customFormat="1">
      <c r="A113" s="959"/>
      <c r="B113" s="685"/>
      <c r="C113" s="950"/>
      <c r="D113" s="950"/>
      <c r="G113" s="672"/>
    </row>
    <row r="114" spans="1:7" s="642" customFormat="1">
      <c r="A114" s="959"/>
      <c r="B114" s="685"/>
      <c r="C114" s="950"/>
      <c r="D114" s="950"/>
      <c r="G114" s="672"/>
    </row>
    <row r="115" spans="1:7" s="642" customFormat="1">
      <c r="A115" s="959"/>
      <c r="B115" s="685"/>
      <c r="C115" s="950"/>
      <c r="D115" s="950"/>
      <c r="G115" s="672"/>
    </row>
    <row r="116" spans="1:7" s="642" customFormat="1">
      <c r="A116" s="959"/>
      <c r="B116" s="685"/>
      <c r="C116" s="950"/>
      <c r="D116" s="950"/>
      <c r="G116" s="672"/>
    </row>
    <row r="117" spans="1:7" s="642" customFormat="1">
      <c r="A117" s="959"/>
      <c r="B117" s="685"/>
      <c r="C117" s="950"/>
      <c r="D117" s="950"/>
      <c r="G117" s="672"/>
    </row>
    <row r="118" spans="1:7" s="642" customFormat="1">
      <c r="A118" s="959"/>
      <c r="B118" s="685"/>
      <c r="C118" s="950"/>
      <c r="D118" s="950"/>
      <c r="G118" s="672"/>
    </row>
    <row r="119" spans="1:7" s="642" customFormat="1">
      <c r="A119" s="959"/>
      <c r="B119" s="685"/>
      <c r="C119" s="950"/>
      <c r="D119" s="950"/>
      <c r="G119" s="672"/>
    </row>
    <row r="120" spans="1:7" s="642" customFormat="1">
      <c r="A120" s="959"/>
      <c r="B120" s="685"/>
      <c r="C120" s="950"/>
      <c r="D120" s="950"/>
      <c r="G120" s="672"/>
    </row>
    <row r="121" spans="1:7" s="642" customFormat="1">
      <c r="A121" s="959"/>
      <c r="B121" s="685"/>
      <c r="C121" s="950"/>
      <c r="D121" s="950"/>
      <c r="G121" s="672"/>
    </row>
    <row r="122" spans="1:7" s="642" customFormat="1">
      <c r="A122" s="959"/>
      <c r="B122" s="685"/>
      <c r="C122" s="950"/>
      <c r="D122" s="950"/>
      <c r="G122" s="672"/>
    </row>
    <row r="123" spans="1:7" s="642" customFormat="1">
      <c r="A123" s="959"/>
      <c r="B123" s="685"/>
      <c r="C123" s="950"/>
      <c r="D123" s="950"/>
      <c r="G123" s="672"/>
    </row>
    <row r="124" spans="1:7" s="642" customFormat="1">
      <c r="A124" s="959"/>
      <c r="B124" s="685"/>
      <c r="C124" s="950"/>
      <c r="D124" s="950"/>
      <c r="G124" s="672"/>
    </row>
    <row r="125" spans="1:7" s="642" customFormat="1">
      <c r="A125" s="959"/>
      <c r="B125" s="685"/>
      <c r="C125" s="950"/>
      <c r="D125" s="950"/>
      <c r="G125" s="672"/>
    </row>
    <row r="126" spans="1:7" s="642" customFormat="1">
      <c r="A126" s="959"/>
      <c r="B126" s="685"/>
      <c r="C126" s="950"/>
      <c r="D126" s="950"/>
      <c r="G126" s="672"/>
    </row>
    <row r="127" spans="1:7" s="642" customFormat="1">
      <c r="A127" s="959"/>
      <c r="B127" s="685"/>
      <c r="C127" s="950"/>
      <c r="D127" s="950"/>
      <c r="G127" s="672"/>
    </row>
    <row r="128" spans="1:7" s="642" customFormat="1">
      <c r="A128" s="959"/>
      <c r="B128" s="685"/>
      <c r="C128" s="950"/>
      <c r="D128" s="950"/>
      <c r="G128" s="672"/>
    </row>
    <row r="129" spans="1:7" s="642" customFormat="1">
      <c r="A129" s="959"/>
      <c r="B129" s="685"/>
      <c r="C129" s="950"/>
      <c r="D129" s="950"/>
      <c r="G129" s="672"/>
    </row>
    <row r="130" spans="1:7" s="642" customFormat="1">
      <c r="A130" s="959"/>
      <c r="B130" s="685"/>
      <c r="C130" s="950"/>
      <c r="D130" s="950"/>
      <c r="G130" s="672"/>
    </row>
    <row r="131" spans="1:7" s="642" customFormat="1">
      <c r="A131" s="959"/>
      <c r="B131" s="685"/>
      <c r="C131" s="950"/>
      <c r="D131" s="950"/>
      <c r="G131" s="672"/>
    </row>
    <row r="132" spans="1:7" s="642" customFormat="1">
      <c r="A132" s="959"/>
      <c r="B132" s="685"/>
      <c r="C132" s="950"/>
      <c r="D132" s="950"/>
      <c r="G132" s="672"/>
    </row>
    <row r="133" spans="1:7" s="642" customFormat="1">
      <c r="A133" s="959"/>
      <c r="B133" s="685"/>
      <c r="C133" s="950"/>
      <c r="D133" s="950"/>
      <c r="G133" s="672"/>
    </row>
    <row r="134" spans="1:7" s="642" customFormat="1">
      <c r="A134" s="959"/>
      <c r="B134" s="685"/>
      <c r="C134" s="950"/>
      <c r="D134" s="950"/>
      <c r="G134" s="672"/>
    </row>
    <row r="135" spans="1:7" s="642" customFormat="1">
      <c r="A135" s="959"/>
      <c r="B135" s="685"/>
      <c r="C135" s="950"/>
      <c r="D135" s="950"/>
      <c r="G135" s="672"/>
    </row>
    <row r="136" spans="1:7" s="642" customFormat="1">
      <c r="A136" s="959"/>
      <c r="B136" s="685"/>
      <c r="C136" s="950"/>
      <c r="D136" s="950"/>
      <c r="G136" s="672"/>
    </row>
    <row r="137" spans="1:7" s="642" customFormat="1">
      <c r="A137" s="959"/>
      <c r="B137" s="685"/>
      <c r="C137" s="950"/>
      <c r="D137" s="950"/>
      <c r="G137" s="672"/>
    </row>
    <row r="138" spans="1:7" s="642" customFormat="1">
      <c r="A138" s="959"/>
      <c r="B138" s="685"/>
      <c r="C138" s="950"/>
      <c r="D138" s="950"/>
      <c r="G138" s="672"/>
    </row>
    <row r="139" spans="1:7" s="642" customFormat="1">
      <c r="A139" s="959"/>
      <c r="B139" s="685"/>
      <c r="C139" s="950"/>
      <c r="D139" s="950"/>
      <c r="G139" s="672"/>
    </row>
    <row r="140" spans="1:7" s="642" customFormat="1">
      <c r="A140" s="959"/>
      <c r="B140" s="685"/>
      <c r="C140" s="950"/>
      <c r="D140" s="950"/>
      <c r="G140" s="672"/>
    </row>
    <row r="141" spans="1:7" s="642" customFormat="1">
      <c r="A141" s="959"/>
      <c r="B141" s="685"/>
      <c r="C141" s="950"/>
      <c r="D141" s="950"/>
      <c r="G141" s="672"/>
    </row>
    <row r="142" spans="1:7" s="642" customFormat="1">
      <c r="A142" s="959"/>
      <c r="B142" s="685"/>
      <c r="C142" s="950"/>
      <c r="D142" s="950"/>
      <c r="G142" s="672"/>
    </row>
    <row r="143" spans="1:7" s="642" customFormat="1">
      <c r="A143" s="959"/>
      <c r="B143" s="685"/>
      <c r="C143" s="950"/>
      <c r="D143" s="950"/>
      <c r="G143" s="672"/>
    </row>
    <row r="144" spans="1:7" s="642" customFormat="1">
      <c r="A144" s="959"/>
      <c r="B144" s="685"/>
      <c r="C144" s="950"/>
      <c r="D144" s="950"/>
      <c r="G144" s="672"/>
    </row>
    <row r="145" spans="1:7" s="642" customFormat="1">
      <c r="A145" s="959"/>
      <c r="B145" s="685"/>
      <c r="C145" s="950"/>
      <c r="D145" s="950"/>
      <c r="G145" s="672"/>
    </row>
    <row r="146" spans="1:7" s="642" customFormat="1">
      <c r="A146" s="959"/>
      <c r="B146" s="685"/>
      <c r="C146" s="950"/>
      <c r="D146" s="950"/>
      <c r="G146" s="672"/>
    </row>
    <row r="147" spans="1:7" s="642" customFormat="1">
      <c r="A147" s="959"/>
      <c r="B147" s="685"/>
      <c r="C147" s="950"/>
      <c r="D147" s="950"/>
      <c r="G147" s="672"/>
    </row>
    <row r="148" spans="1:7" s="642" customFormat="1">
      <c r="A148" s="959"/>
      <c r="B148" s="685"/>
      <c r="C148" s="950"/>
      <c r="D148" s="950"/>
      <c r="G148" s="672"/>
    </row>
    <row r="149" spans="1:7" s="642" customFormat="1">
      <c r="A149" s="959"/>
      <c r="B149" s="685"/>
      <c r="C149" s="950"/>
      <c r="D149" s="950"/>
      <c r="G149" s="672"/>
    </row>
    <row r="150" spans="1:7" s="642" customFormat="1">
      <c r="A150" s="959"/>
      <c r="B150" s="685"/>
      <c r="C150" s="950"/>
      <c r="D150" s="950"/>
      <c r="G150" s="672"/>
    </row>
    <row r="151" spans="1:7" s="642" customFormat="1">
      <c r="A151" s="959"/>
      <c r="B151" s="685"/>
      <c r="C151" s="950"/>
      <c r="D151" s="950"/>
      <c r="G151" s="672"/>
    </row>
    <row r="152" spans="1:7" s="642" customFormat="1">
      <c r="A152" s="959"/>
      <c r="B152" s="685"/>
      <c r="C152" s="950"/>
      <c r="D152" s="950"/>
      <c r="G152" s="672"/>
    </row>
    <row r="153" spans="1:7" s="642" customFormat="1">
      <c r="A153" s="959"/>
      <c r="B153" s="685"/>
      <c r="C153" s="950"/>
      <c r="D153" s="950"/>
      <c r="G153" s="672"/>
    </row>
    <row r="154" spans="1:7" s="642" customFormat="1">
      <c r="A154" s="959"/>
      <c r="B154" s="685"/>
      <c r="C154" s="950"/>
      <c r="D154" s="950"/>
      <c r="G154" s="672"/>
    </row>
    <row r="155" spans="1:7" s="642" customFormat="1">
      <c r="A155" s="959"/>
      <c r="B155" s="685"/>
      <c r="C155" s="950"/>
      <c r="D155" s="950"/>
      <c r="G155" s="672"/>
    </row>
    <row r="156" spans="1:7" s="642" customFormat="1">
      <c r="A156" s="959"/>
      <c r="B156" s="685"/>
      <c r="C156" s="950"/>
      <c r="D156" s="950"/>
      <c r="G156" s="672"/>
    </row>
    <row r="157" spans="1:7" s="642" customFormat="1">
      <c r="A157" s="959"/>
      <c r="B157" s="685"/>
      <c r="C157" s="950"/>
      <c r="D157" s="950"/>
      <c r="G157" s="672"/>
    </row>
    <row r="158" spans="1:7" s="642" customFormat="1">
      <c r="A158" s="959"/>
      <c r="B158" s="685"/>
      <c r="C158" s="950"/>
      <c r="D158" s="950"/>
      <c r="G158" s="672"/>
    </row>
    <row r="159" spans="1:7" s="642" customFormat="1">
      <c r="A159" s="959"/>
      <c r="B159" s="685"/>
      <c r="C159" s="950"/>
      <c r="D159" s="950"/>
      <c r="G159" s="672"/>
    </row>
    <row r="160" spans="1:7" s="642" customFormat="1">
      <c r="A160" s="959"/>
      <c r="B160" s="685"/>
      <c r="C160" s="950"/>
      <c r="D160" s="950"/>
      <c r="G160" s="672"/>
    </row>
    <row r="161" spans="1:7" s="642" customFormat="1">
      <c r="A161" s="959"/>
      <c r="B161" s="685"/>
      <c r="C161" s="950"/>
      <c r="D161" s="950"/>
      <c r="G161" s="672"/>
    </row>
    <row r="162" spans="1:7" s="642" customFormat="1">
      <c r="A162" s="959"/>
      <c r="B162" s="685"/>
      <c r="C162" s="950"/>
      <c r="D162" s="950"/>
      <c r="G162" s="672"/>
    </row>
    <row r="163" spans="1:7" s="642" customFormat="1">
      <c r="A163" s="959"/>
      <c r="B163" s="685"/>
      <c r="C163" s="950"/>
      <c r="D163" s="950"/>
      <c r="G163" s="672"/>
    </row>
    <row r="164" spans="1:7" s="642" customFormat="1">
      <c r="A164" s="959"/>
      <c r="B164" s="685"/>
      <c r="C164" s="950"/>
      <c r="D164" s="950"/>
      <c r="G164" s="672"/>
    </row>
    <row r="165" spans="1:7" s="642" customFormat="1">
      <c r="A165" s="959"/>
      <c r="B165" s="685"/>
      <c r="C165" s="950"/>
      <c r="D165" s="950"/>
      <c r="G165" s="672"/>
    </row>
    <row r="166" spans="1:7" s="642" customFormat="1">
      <c r="A166" s="959"/>
      <c r="B166" s="685"/>
      <c r="C166" s="950"/>
      <c r="D166" s="950"/>
      <c r="G166" s="672"/>
    </row>
    <row r="167" spans="1:7" s="642" customFormat="1">
      <c r="A167" s="959"/>
      <c r="B167" s="685"/>
      <c r="C167" s="950"/>
      <c r="D167" s="950"/>
      <c r="G167" s="672"/>
    </row>
    <row r="168" spans="1:7" s="642" customFormat="1">
      <c r="A168" s="959"/>
      <c r="B168" s="685"/>
      <c r="C168" s="950"/>
      <c r="D168" s="950"/>
      <c r="G168" s="672"/>
    </row>
    <row r="169" spans="1:7" s="642" customFormat="1">
      <c r="A169" s="959"/>
      <c r="B169" s="685"/>
      <c r="C169" s="950"/>
      <c r="D169" s="950"/>
      <c r="G169" s="672"/>
    </row>
    <row r="170" spans="1:7" s="642" customFormat="1">
      <c r="A170" s="959"/>
      <c r="B170" s="685"/>
      <c r="C170" s="950"/>
      <c r="D170" s="950"/>
      <c r="G170" s="672"/>
    </row>
    <row r="171" spans="1:7" s="642" customFormat="1">
      <c r="A171" s="959"/>
      <c r="B171" s="685"/>
      <c r="C171" s="950"/>
      <c r="D171" s="950"/>
      <c r="G171" s="672"/>
    </row>
    <row r="172" spans="1:7" s="642" customFormat="1">
      <c r="A172" s="959"/>
      <c r="B172" s="685"/>
      <c r="C172" s="950"/>
      <c r="D172" s="950"/>
      <c r="G172" s="672"/>
    </row>
    <row r="173" spans="1:7" s="642" customFormat="1">
      <c r="A173" s="959"/>
      <c r="B173" s="685"/>
      <c r="C173" s="950"/>
      <c r="D173" s="950"/>
      <c r="G173" s="672"/>
    </row>
    <row r="174" spans="1:7" s="642" customFormat="1">
      <c r="A174" s="959"/>
      <c r="B174" s="685"/>
      <c r="C174" s="950"/>
      <c r="D174" s="950"/>
      <c r="G174" s="672"/>
    </row>
    <row r="175" spans="1:7" s="642" customFormat="1">
      <c r="A175" s="959"/>
      <c r="B175" s="685"/>
      <c r="C175" s="950"/>
      <c r="D175" s="950"/>
      <c r="G175" s="672"/>
    </row>
    <row r="176" spans="1:7" s="642" customFormat="1">
      <c r="A176" s="959"/>
      <c r="B176" s="685"/>
      <c r="C176" s="950"/>
      <c r="D176" s="950"/>
      <c r="G176" s="672"/>
    </row>
    <row r="177" spans="1:7" s="642" customFormat="1">
      <c r="A177" s="959"/>
      <c r="B177" s="685"/>
      <c r="C177" s="950"/>
      <c r="D177" s="950"/>
      <c r="G177" s="672"/>
    </row>
    <row r="178" spans="1:7" s="642" customFormat="1">
      <c r="A178" s="959"/>
      <c r="B178" s="685"/>
      <c r="C178" s="950"/>
      <c r="D178" s="950"/>
      <c r="G178" s="672"/>
    </row>
    <row r="179" spans="1:7" s="642" customFormat="1">
      <c r="A179" s="959"/>
      <c r="B179" s="685"/>
      <c r="C179" s="950"/>
      <c r="D179" s="950"/>
      <c r="G179" s="672"/>
    </row>
    <row r="180" spans="1:7" s="642" customFormat="1">
      <c r="A180" s="959"/>
      <c r="B180" s="685"/>
      <c r="C180" s="950"/>
      <c r="D180" s="950"/>
      <c r="G180" s="672"/>
    </row>
    <row r="181" spans="1:7" s="642" customFormat="1">
      <c r="A181" s="959"/>
      <c r="B181" s="685"/>
      <c r="C181" s="950"/>
      <c r="D181" s="950"/>
      <c r="G181" s="672"/>
    </row>
    <row r="182" spans="1:7" s="642" customFormat="1">
      <c r="A182" s="959"/>
      <c r="B182" s="685"/>
      <c r="C182" s="950"/>
      <c r="D182" s="950"/>
      <c r="G182" s="672"/>
    </row>
    <row r="183" spans="1:7" s="642" customFormat="1">
      <c r="A183" s="959"/>
      <c r="B183" s="685"/>
      <c r="C183" s="950"/>
      <c r="D183" s="950"/>
      <c r="G183" s="672"/>
    </row>
    <row r="184" spans="1:7" s="642" customFormat="1">
      <c r="A184" s="959"/>
      <c r="B184" s="685"/>
      <c r="C184" s="950"/>
      <c r="D184" s="950"/>
      <c r="G184" s="672"/>
    </row>
    <row r="185" spans="1:7" s="642" customFormat="1">
      <c r="A185" s="959"/>
      <c r="B185" s="685"/>
      <c r="C185" s="950"/>
      <c r="D185" s="950"/>
      <c r="G185" s="672"/>
    </row>
    <row r="186" spans="1:7" s="642" customFormat="1">
      <c r="A186" s="959"/>
      <c r="B186" s="685"/>
      <c r="C186" s="950"/>
      <c r="D186" s="950"/>
      <c r="G186" s="672"/>
    </row>
    <row r="187" spans="1:7" s="642" customFormat="1">
      <c r="A187" s="959"/>
      <c r="B187" s="685"/>
      <c r="C187" s="950"/>
      <c r="D187" s="950"/>
      <c r="G187" s="672"/>
    </row>
    <row r="188" spans="1:7" s="642" customFormat="1">
      <c r="A188" s="959"/>
      <c r="B188" s="685"/>
      <c r="C188" s="950"/>
      <c r="D188" s="950"/>
      <c r="G188" s="672"/>
    </row>
    <row r="189" spans="1:7" s="642" customFormat="1">
      <c r="A189" s="959"/>
      <c r="B189" s="685"/>
      <c r="C189" s="950"/>
      <c r="D189" s="950"/>
      <c r="G189" s="672"/>
    </row>
    <row r="190" spans="1:7" s="642" customFormat="1">
      <c r="A190" s="959"/>
      <c r="B190" s="685"/>
      <c r="C190" s="950"/>
      <c r="D190" s="950"/>
      <c r="G190" s="672"/>
    </row>
    <row r="191" spans="1:7" s="642" customFormat="1">
      <c r="A191" s="959"/>
      <c r="B191" s="685"/>
      <c r="C191" s="950"/>
      <c r="D191" s="950"/>
      <c r="G191" s="672"/>
    </row>
    <row r="192" spans="1:7" s="642" customFormat="1">
      <c r="A192" s="959"/>
      <c r="B192" s="685"/>
      <c r="C192" s="950"/>
      <c r="D192" s="950"/>
      <c r="G192" s="672"/>
    </row>
    <row r="193" spans="1:7" s="642" customFormat="1">
      <c r="A193" s="959"/>
      <c r="B193" s="685"/>
      <c r="C193" s="950"/>
      <c r="D193" s="950"/>
      <c r="G193" s="672"/>
    </row>
    <row r="194" spans="1:7" s="642" customFormat="1">
      <c r="A194" s="959"/>
      <c r="B194" s="685"/>
      <c r="C194" s="950"/>
      <c r="D194" s="950"/>
      <c r="G194" s="672"/>
    </row>
    <row r="195" spans="1:7" s="642" customFormat="1">
      <c r="A195" s="959"/>
      <c r="B195" s="685"/>
      <c r="C195" s="950"/>
      <c r="D195" s="950"/>
      <c r="G195" s="672"/>
    </row>
    <row r="196" spans="1:7" s="642" customFormat="1">
      <c r="A196" s="959"/>
      <c r="B196" s="685"/>
      <c r="C196" s="950"/>
      <c r="D196" s="950"/>
      <c r="G196" s="672"/>
    </row>
    <row r="197" spans="1:7" s="642" customFormat="1">
      <c r="A197" s="959"/>
      <c r="B197" s="685"/>
      <c r="C197" s="950"/>
      <c r="D197" s="950"/>
      <c r="G197" s="672"/>
    </row>
    <row r="198" spans="1:7" s="642" customFormat="1">
      <c r="A198" s="959"/>
      <c r="B198" s="685"/>
      <c r="C198" s="950"/>
      <c r="D198" s="950"/>
      <c r="G198" s="672"/>
    </row>
    <row r="199" spans="1:7" s="642" customFormat="1">
      <c r="A199" s="959"/>
      <c r="B199" s="685"/>
      <c r="C199" s="950"/>
      <c r="D199" s="950"/>
      <c r="G199" s="672"/>
    </row>
    <row r="200" spans="1:7" s="642" customFormat="1">
      <c r="A200" s="959"/>
      <c r="B200" s="685"/>
      <c r="C200" s="950"/>
      <c r="D200" s="950"/>
      <c r="G200" s="672"/>
    </row>
    <row r="201" spans="1:7" s="642" customFormat="1">
      <c r="A201" s="959"/>
      <c r="B201" s="685"/>
      <c r="C201" s="950"/>
      <c r="D201" s="950"/>
      <c r="G201" s="672"/>
    </row>
    <row r="202" spans="1:7" s="642" customFormat="1">
      <c r="A202" s="959"/>
      <c r="B202" s="685"/>
      <c r="C202" s="950"/>
      <c r="D202" s="950"/>
      <c r="G202" s="672"/>
    </row>
    <row r="203" spans="1:7" s="642" customFormat="1">
      <c r="A203" s="959"/>
      <c r="B203" s="685"/>
      <c r="C203" s="950"/>
      <c r="D203" s="950"/>
      <c r="G203" s="672"/>
    </row>
    <row r="204" spans="1:7" s="642" customFormat="1">
      <c r="A204" s="959"/>
      <c r="B204" s="685"/>
      <c r="C204" s="950"/>
      <c r="D204" s="950"/>
      <c r="G204" s="672"/>
    </row>
    <row r="205" spans="1:7" s="642" customFormat="1">
      <c r="A205" s="959"/>
      <c r="B205" s="685"/>
      <c r="C205" s="950"/>
      <c r="D205" s="950"/>
      <c r="G205" s="672"/>
    </row>
    <row r="206" spans="1:7" s="642" customFormat="1">
      <c r="A206" s="959"/>
      <c r="B206" s="685"/>
      <c r="C206" s="950"/>
      <c r="D206" s="950"/>
      <c r="G206" s="672"/>
    </row>
    <row r="207" spans="1:7" s="642" customFormat="1">
      <c r="A207" s="959"/>
      <c r="B207" s="685"/>
      <c r="C207" s="950"/>
      <c r="D207" s="950"/>
      <c r="G207" s="672"/>
    </row>
    <row r="208" spans="1:7" s="642" customFormat="1">
      <c r="A208" s="959"/>
      <c r="B208" s="685"/>
      <c r="C208" s="950"/>
      <c r="D208" s="950"/>
      <c r="G208" s="672"/>
    </row>
    <row r="209" spans="1:7" s="642" customFormat="1">
      <c r="A209" s="959"/>
      <c r="B209" s="685"/>
      <c r="C209" s="950"/>
      <c r="D209" s="950"/>
      <c r="G209" s="672"/>
    </row>
    <row r="210" spans="1:7" s="642" customFormat="1">
      <c r="A210" s="959"/>
      <c r="B210" s="685"/>
      <c r="C210" s="950"/>
      <c r="D210" s="950"/>
      <c r="G210" s="672"/>
    </row>
    <row r="211" spans="1:7" s="642" customFormat="1">
      <c r="A211" s="959"/>
      <c r="B211" s="685"/>
      <c r="C211" s="950"/>
      <c r="D211" s="950"/>
      <c r="G211" s="672"/>
    </row>
    <row r="212" spans="1:7" s="642" customFormat="1">
      <c r="A212" s="959"/>
      <c r="B212" s="685"/>
      <c r="C212" s="950"/>
      <c r="D212" s="950"/>
      <c r="G212" s="672"/>
    </row>
    <row r="213" spans="1:7" s="642" customFormat="1">
      <c r="A213" s="959"/>
      <c r="B213" s="685"/>
      <c r="C213" s="950"/>
      <c r="D213" s="950"/>
      <c r="G213" s="672"/>
    </row>
    <row r="214" spans="1:7" s="642" customFormat="1">
      <c r="A214" s="959"/>
      <c r="B214" s="685"/>
      <c r="C214" s="950"/>
      <c r="D214" s="950"/>
      <c r="G214" s="672"/>
    </row>
    <row r="215" spans="1:7" s="642" customFormat="1">
      <c r="A215" s="959"/>
      <c r="B215" s="685"/>
      <c r="C215" s="950"/>
      <c r="D215" s="950"/>
      <c r="G215" s="672"/>
    </row>
    <row r="216" spans="1:7" s="642" customFormat="1">
      <c r="A216" s="959"/>
      <c r="B216" s="685"/>
      <c r="C216" s="950"/>
      <c r="D216" s="950"/>
      <c r="G216" s="672"/>
    </row>
    <row r="217" spans="1:7" s="642" customFormat="1">
      <c r="A217" s="959"/>
      <c r="B217" s="685"/>
      <c r="C217" s="950"/>
      <c r="D217" s="950"/>
      <c r="G217" s="672"/>
    </row>
    <row r="218" spans="1:7" s="642" customFormat="1">
      <c r="A218" s="959"/>
      <c r="B218" s="685"/>
      <c r="C218" s="950"/>
      <c r="D218" s="950"/>
      <c r="G218" s="672"/>
    </row>
    <row r="219" spans="1:7" s="642" customFormat="1">
      <c r="A219" s="959"/>
      <c r="B219" s="685"/>
      <c r="C219" s="950"/>
      <c r="D219" s="950"/>
      <c r="G219" s="672"/>
    </row>
    <row r="220" spans="1:7" s="642" customFormat="1">
      <c r="A220" s="959"/>
      <c r="B220" s="685"/>
      <c r="C220" s="950"/>
      <c r="D220" s="950"/>
      <c r="G220" s="672"/>
    </row>
    <row r="221" spans="1:7" s="642" customFormat="1">
      <c r="A221" s="959"/>
      <c r="B221" s="685"/>
      <c r="C221" s="950"/>
      <c r="D221" s="950"/>
      <c r="G221" s="672"/>
    </row>
    <row r="222" spans="1:7" s="642" customFormat="1">
      <c r="A222" s="959"/>
      <c r="B222" s="685"/>
      <c r="C222" s="950"/>
      <c r="D222" s="950"/>
      <c r="G222" s="672"/>
    </row>
    <row r="223" spans="1:7" s="642" customFormat="1">
      <c r="A223" s="959"/>
      <c r="B223" s="685"/>
      <c r="C223" s="950"/>
      <c r="D223" s="950"/>
      <c r="G223" s="672"/>
    </row>
    <row r="224" spans="1:7" s="642" customFormat="1">
      <c r="A224" s="959"/>
      <c r="B224" s="685"/>
      <c r="C224" s="950"/>
      <c r="D224" s="950"/>
      <c r="G224" s="672"/>
    </row>
    <row r="225" spans="1:7" s="642" customFormat="1">
      <c r="A225" s="959"/>
      <c r="B225" s="685"/>
      <c r="C225" s="950"/>
      <c r="D225" s="950"/>
      <c r="G225" s="672"/>
    </row>
    <row r="226" spans="1:7" s="642" customFormat="1">
      <c r="A226" s="959"/>
      <c r="B226" s="685"/>
      <c r="C226" s="950"/>
      <c r="D226" s="950"/>
      <c r="G226" s="672"/>
    </row>
    <row r="227" spans="1:7" s="642" customFormat="1">
      <c r="A227" s="959"/>
      <c r="B227" s="685"/>
      <c r="C227" s="950"/>
      <c r="D227" s="950"/>
      <c r="G227" s="672"/>
    </row>
    <row r="228" spans="1:7" s="642" customFormat="1">
      <c r="A228" s="959"/>
      <c r="B228" s="685"/>
      <c r="C228" s="950"/>
      <c r="D228" s="950"/>
      <c r="G228" s="672"/>
    </row>
    <row r="229" spans="1:7" s="642" customFormat="1">
      <c r="A229" s="959"/>
      <c r="B229" s="685"/>
      <c r="C229" s="950"/>
      <c r="D229" s="950"/>
      <c r="G229" s="672"/>
    </row>
    <row r="230" spans="1:7" s="642" customFormat="1">
      <c r="A230" s="959"/>
      <c r="B230" s="685"/>
      <c r="C230" s="950"/>
      <c r="D230" s="950"/>
      <c r="G230" s="672"/>
    </row>
    <row r="231" spans="1:7" s="642" customFormat="1">
      <c r="A231" s="959"/>
      <c r="B231" s="685"/>
      <c r="C231" s="950"/>
      <c r="D231" s="950"/>
      <c r="G231" s="672"/>
    </row>
    <row r="232" spans="1:7" s="642" customFormat="1">
      <c r="A232" s="959"/>
      <c r="B232" s="685"/>
      <c r="C232" s="950"/>
      <c r="D232" s="950"/>
      <c r="G232" s="672"/>
    </row>
    <row r="233" spans="1:7" s="642" customFormat="1">
      <c r="A233" s="959"/>
      <c r="B233" s="685"/>
      <c r="C233" s="950"/>
      <c r="D233" s="950"/>
      <c r="G233" s="672"/>
    </row>
    <row r="234" spans="1:7" s="642" customFormat="1">
      <c r="A234" s="959"/>
      <c r="B234" s="685"/>
      <c r="C234" s="950"/>
      <c r="D234" s="950"/>
      <c r="G234" s="672"/>
    </row>
    <row r="235" spans="1:7" s="642" customFormat="1">
      <c r="A235" s="959"/>
      <c r="B235" s="685"/>
      <c r="C235" s="950"/>
      <c r="D235" s="950"/>
      <c r="G235" s="672"/>
    </row>
    <row r="236" spans="1:7" s="642" customFormat="1">
      <c r="A236" s="959"/>
      <c r="B236" s="685"/>
      <c r="C236" s="950"/>
      <c r="D236" s="950"/>
      <c r="G236" s="672"/>
    </row>
    <row r="237" spans="1:7" s="642" customFormat="1">
      <c r="A237" s="959"/>
      <c r="B237" s="685"/>
      <c r="C237" s="950"/>
      <c r="D237" s="950"/>
      <c r="G237" s="672"/>
    </row>
    <row r="238" spans="1:7" s="642" customFormat="1">
      <c r="A238" s="959"/>
      <c r="B238" s="685"/>
      <c r="C238" s="950"/>
      <c r="D238" s="950"/>
      <c r="G238" s="672"/>
    </row>
    <row r="239" spans="1:7" s="642" customFormat="1">
      <c r="A239" s="959"/>
      <c r="B239" s="685"/>
      <c r="C239" s="950"/>
      <c r="D239" s="950"/>
      <c r="G239" s="672"/>
    </row>
    <row r="240" spans="1:7" s="642" customFormat="1">
      <c r="A240" s="959"/>
      <c r="B240" s="685"/>
      <c r="C240" s="950"/>
      <c r="D240" s="950"/>
      <c r="G240" s="672"/>
    </row>
    <row r="241" spans="1:34" s="642" customFormat="1">
      <c r="A241" s="959"/>
      <c r="B241" s="685"/>
      <c r="C241" s="950"/>
      <c r="D241" s="950"/>
      <c r="G241" s="672"/>
    </row>
    <row r="242" spans="1:34" s="642" customFormat="1">
      <c r="A242" s="959"/>
      <c r="B242" s="685"/>
      <c r="C242" s="950"/>
      <c r="D242" s="950"/>
      <c r="G242" s="672"/>
    </row>
    <row r="243" spans="1:34" s="642" customFormat="1">
      <c r="A243" s="959"/>
      <c r="B243" s="685"/>
      <c r="C243" s="950"/>
      <c r="D243" s="950"/>
      <c r="G243" s="672"/>
    </row>
    <row r="244" spans="1:34" s="642" customFormat="1">
      <c r="A244" s="959"/>
      <c r="B244" s="685"/>
      <c r="C244" s="950"/>
      <c r="D244" s="950"/>
      <c r="G244" s="672"/>
    </row>
    <row r="245" spans="1:34" s="642" customFormat="1">
      <c r="A245" s="959"/>
      <c r="B245" s="685"/>
      <c r="C245" s="950"/>
      <c r="D245" s="950"/>
      <c r="G245" s="672"/>
    </row>
    <row r="246" spans="1:34" s="642" customFormat="1">
      <c r="A246" s="959"/>
      <c r="B246" s="685"/>
      <c r="C246" s="950"/>
      <c r="D246" s="950"/>
      <c r="G246" s="672"/>
    </row>
    <row r="247" spans="1:34" s="642" customFormat="1">
      <c r="A247" s="959"/>
      <c r="B247" s="685"/>
      <c r="C247" s="950"/>
      <c r="D247" s="950"/>
      <c r="G247" s="672"/>
    </row>
    <row r="248" spans="1:34" s="642" customFormat="1">
      <c r="A248" s="959"/>
      <c r="B248" s="685"/>
      <c r="C248" s="950"/>
      <c r="D248" s="950"/>
      <c r="G248" s="672"/>
    </row>
    <row r="249" spans="1:34" s="667" customFormat="1">
      <c r="A249" s="960"/>
      <c r="B249" s="1065"/>
      <c r="C249" s="951"/>
      <c r="D249" s="951"/>
      <c r="G249" s="688"/>
      <c r="H249" s="642"/>
      <c r="I249" s="642"/>
      <c r="J249" s="642"/>
      <c r="K249" s="642"/>
      <c r="L249" s="642"/>
      <c r="M249" s="642"/>
      <c r="N249" s="642"/>
      <c r="O249" s="642"/>
      <c r="P249" s="642"/>
      <c r="Q249" s="642"/>
      <c r="R249" s="642"/>
      <c r="S249" s="642"/>
      <c r="T249" s="642"/>
      <c r="U249" s="642"/>
      <c r="V249" s="642"/>
      <c r="W249" s="642"/>
      <c r="X249" s="642"/>
      <c r="Y249" s="642"/>
      <c r="Z249" s="642"/>
      <c r="AA249" s="642"/>
      <c r="AB249" s="642"/>
      <c r="AC249" s="642"/>
      <c r="AD249" s="642"/>
      <c r="AE249" s="642"/>
      <c r="AF249" s="642"/>
      <c r="AG249" s="642"/>
      <c r="AH249" s="642"/>
    </row>
    <row r="250" spans="1:34">
      <c r="A250" s="961"/>
      <c r="B250" s="1066"/>
      <c r="C250" s="952"/>
      <c r="D250" s="952"/>
      <c r="E250" s="594"/>
      <c r="F250" s="594"/>
    </row>
    <row r="251" spans="1:34">
      <c r="A251" s="961"/>
      <c r="B251" s="1066"/>
      <c r="C251" s="952"/>
      <c r="D251" s="952"/>
      <c r="E251" s="594"/>
      <c r="F251" s="594"/>
    </row>
    <row r="252" spans="1:34">
      <c r="A252" s="961"/>
      <c r="B252" s="1066"/>
      <c r="C252" s="952"/>
      <c r="D252" s="952"/>
      <c r="E252" s="594"/>
      <c r="F252" s="594"/>
    </row>
    <row r="253" spans="1:34">
      <c r="A253" s="961"/>
      <c r="B253" s="1066"/>
      <c r="C253" s="952"/>
      <c r="D253" s="952"/>
      <c r="E253" s="594"/>
      <c r="F253" s="594"/>
    </row>
    <row r="254" spans="1:34">
      <c r="A254" s="961"/>
      <c r="B254" s="1066"/>
      <c r="C254" s="952"/>
      <c r="D254" s="952"/>
      <c r="E254" s="594"/>
      <c r="F254" s="594"/>
    </row>
    <row r="255" spans="1:34">
      <c r="A255" s="961"/>
      <c r="B255" s="1066"/>
      <c r="C255" s="952"/>
      <c r="D255" s="952"/>
      <c r="E255" s="594"/>
      <c r="F255" s="594"/>
    </row>
    <row r="256" spans="1:34">
      <c r="A256" s="961"/>
      <c r="B256" s="1066"/>
      <c r="C256" s="952"/>
      <c r="D256" s="952"/>
      <c r="E256" s="594"/>
      <c r="F256" s="594"/>
    </row>
    <row r="257" spans="1:43">
      <c r="A257" s="961"/>
      <c r="B257" s="1066"/>
      <c r="C257" s="952"/>
      <c r="D257" s="952"/>
      <c r="E257" s="594"/>
      <c r="F257" s="594"/>
    </row>
    <row r="258" spans="1:43">
      <c r="A258" s="961"/>
      <c r="B258" s="1066"/>
      <c r="C258" s="952"/>
      <c r="D258" s="952"/>
      <c r="E258" s="594"/>
      <c r="F258" s="594"/>
    </row>
    <row r="259" spans="1:43">
      <c r="A259" s="961"/>
      <c r="B259" s="1066"/>
      <c r="C259" s="952"/>
      <c r="D259" s="952"/>
      <c r="E259" s="594"/>
      <c r="F259" s="594"/>
    </row>
    <row r="260" spans="1:43" s="677" customFormat="1">
      <c r="A260" s="961"/>
      <c r="B260" s="1066"/>
      <c r="C260" s="952"/>
      <c r="D260" s="952"/>
      <c r="E260" s="594"/>
      <c r="F260" s="594"/>
      <c r="H260" s="642"/>
      <c r="I260" s="642"/>
      <c r="J260" s="642"/>
      <c r="K260" s="642"/>
      <c r="L260" s="642"/>
      <c r="M260" s="642"/>
      <c r="N260" s="642"/>
      <c r="O260" s="642"/>
      <c r="P260" s="642"/>
      <c r="Q260" s="642"/>
      <c r="R260" s="642"/>
      <c r="S260" s="642"/>
      <c r="T260" s="642"/>
      <c r="U260" s="642"/>
      <c r="V260" s="642"/>
      <c r="W260" s="642"/>
      <c r="X260" s="642"/>
      <c r="Y260" s="642"/>
      <c r="Z260" s="642"/>
      <c r="AA260" s="642"/>
      <c r="AB260" s="642"/>
      <c r="AC260" s="642"/>
      <c r="AD260" s="642"/>
      <c r="AE260" s="642"/>
      <c r="AF260" s="642"/>
      <c r="AG260" s="642"/>
      <c r="AH260" s="642"/>
      <c r="AI260" s="594"/>
      <c r="AJ260" s="594"/>
      <c r="AK260" s="594"/>
      <c r="AL260" s="594"/>
      <c r="AM260" s="594"/>
      <c r="AN260" s="594"/>
      <c r="AO260" s="594"/>
      <c r="AP260" s="594"/>
      <c r="AQ260" s="594"/>
    </row>
  </sheetData>
  <sheetProtection algorithmName="SHA-512" hashValue="MOP2Nqsx9pwTZNbB9NViy+5Wu9dYR/lHHdbkJgJNPG0F7pKkyMzUFXboGrjWj+536JMiY9HA7N5W7Qk6T3HA5A==" saltValue="gzK4OI0pQzUR9yF01uOu4w==" spinCount="100000" sheet="1" selectLockedCells="1"/>
  <phoneticPr fontId="4" type="noConversion"/>
  <printOptions horizontalCentered="1" verticalCentered="1"/>
  <pageMargins left="1.1811023622047245" right="0.31496062992125984" top="0.31496062992125984" bottom="0.78740157480314965" header="0.51181102362204722" footer="0.55118110236220474"/>
  <pageSetup paperSize="9" scale="96" firstPageNumber="0" orientation="landscape" horizontalDpi="300" verticalDpi="300" r:id="rId1"/>
  <headerFooter alignWithMargins="0">
    <oddFooter>&amp;C&amp;P</oddFooter>
  </headerFooter>
  <rowBreaks count="1" manualBreakCount="1">
    <brk id="25"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279"/>
  <sheetViews>
    <sheetView view="pageBreakPreview" topLeftCell="A67" zoomScale="85" zoomScaleNormal="70" zoomScaleSheetLayoutView="85" workbookViewId="0">
      <selection activeCell="C4" sqref="C4"/>
    </sheetView>
  </sheetViews>
  <sheetFormatPr defaultRowHeight="14.25"/>
  <cols>
    <col min="1" max="1" width="12.85546875" style="611" customWidth="1"/>
    <col min="2" max="2" width="59.7109375" style="1067" customWidth="1"/>
    <col min="3" max="3" width="18" style="590" customWidth="1"/>
    <col min="4" max="4" width="11.7109375" style="590" customWidth="1"/>
    <col min="5" max="8" width="21.85546875" style="604" hidden="1" customWidth="1"/>
    <col min="9" max="9" width="15.140625" style="601" customWidth="1"/>
    <col min="10" max="10" width="15.85546875" style="601" customWidth="1"/>
    <col min="11" max="11" width="15" style="677" customWidth="1"/>
    <col min="12" max="12" width="30.140625" style="642" customWidth="1"/>
    <col min="13" max="38" width="9.140625" style="642"/>
    <col min="39" max="16384" width="9.140625" style="594"/>
  </cols>
  <sheetData>
    <row r="1" spans="1:38" s="616" customFormat="1" ht="28.5" customHeight="1">
      <c r="A1" s="655" t="s">
        <v>2249</v>
      </c>
      <c r="B1" s="656"/>
      <c r="C1" s="656"/>
      <c r="D1" s="657"/>
      <c r="E1" s="656"/>
      <c r="F1" s="656"/>
      <c r="G1" s="656"/>
      <c r="H1" s="656"/>
      <c r="I1" s="658"/>
      <c r="J1" s="658"/>
      <c r="K1" s="675"/>
      <c r="L1" s="639"/>
      <c r="M1" s="639"/>
      <c r="N1" s="639"/>
      <c r="O1" s="639"/>
      <c r="P1" s="639"/>
      <c r="Q1" s="639"/>
      <c r="R1" s="639"/>
      <c r="S1" s="639"/>
      <c r="T1" s="639"/>
      <c r="U1" s="639"/>
      <c r="V1" s="639"/>
      <c r="W1" s="639"/>
      <c r="X1" s="639"/>
      <c r="Y1" s="639"/>
      <c r="Z1" s="639"/>
      <c r="AA1" s="639"/>
      <c r="AB1" s="639"/>
      <c r="AC1" s="639"/>
      <c r="AD1" s="639"/>
      <c r="AE1" s="639"/>
      <c r="AF1" s="639"/>
      <c r="AG1" s="639"/>
      <c r="AH1" s="639"/>
      <c r="AI1" s="639"/>
      <c r="AJ1" s="639"/>
      <c r="AK1" s="639"/>
      <c r="AL1" s="639"/>
    </row>
    <row r="2" spans="1:38" s="614" customFormat="1" ht="57" customHeight="1">
      <c r="A2" s="659" t="s">
        <v>222</v>
      </c>
      <c r="B2" s="1050" t="s">
        <v>372</v>
      </c>
      <c r="C2" s="614" t="s">
        <v>230</v>
      </c>
      <c r="D2" s="614" t="s">
        <v>224</v>
      </c>
      <c r="E2" s="1435" t="s">
        <v>450</v>
      </c>
      <c r="F2" s="1436" t="s">
        <v>451</v>
      </c>
      <c r="G2" s="1435" t="s">
        <v>531</v>
      </c>
      <c r="H2" s="1436" t="s">
        <v>555</v>
      </c>
      <c r="I2" s="614" t="s">
        <v>341</v>
      </c>
      <c r="J2" s="614" t="s">
        <v>342</v>
      </c>
      <c r="K2" s="676" t="s">
        <v>343</v>
      </c>
      <c r="L2" s="678"/>
      <c r="M2" s="678"/>
      <c r="N2" s="678"/>
      <c r="O2" s="678"/>
      <c r="P2" s="678"/>
      <c r="Q2" s="678"/>
      <c r="R2" s="678"/>
      <c r="S2" s="678"/>
      <c r="T2" s="678"/>
      <c r="U2" s="678"/>
      <c r="V2" s="678"/>
      <c r="W2" s="678"/>
      <c r="X2" s="678"/>
      <c r="Y2" s="678"/>
      <c r="Z2" s="678"/>
      <c r="AA2" s="678"/>
      <c r="AB2" s="678"/>
      <c r="AC2" s="678"/>
      <c r="AD2" s="678"/>
      <c r="AE2" s="678"/>
      <c r="AF2" s="678"/>
      <c r="AG2" s="678"/>
      <c r="AH2" s="678"/>
      <c r="AI2" s="678"/>
      <c r="AJ2" s="678"/>
      <c r="AK2" s="678"/>
      <c r="AL2" s="678"/>
    </row>
    <row r="3" spans="1:38" s="990" customFormat="1" ht="24.75" customHeight="1">
      <c r="A3" s="982">
        <v>3</v>
      </c>
      <c r="B3" s="1142" t="s">
        <v>526</v>
      </c>
      <c r="C3" s="1146" t="s">
        <v>2264</v>
      </c>
      <c r="D3" s="985"/>
      <c r="E3" s="985"/>
      <c r="F3" s="985"/>
      <c r="G3" s="985"/>
      <c r="H3" s="985"/>
      <c r="I3" s="985"/>
      <c r="J3" s="1143"/>
      <c r="K3" s="1144">
        <f>K4+K24+K33+K56</f>
        <v>0</v>
      </c>
      <c r="L3" s="989"/>
      <c r="M3" s="989"/>
      <c r="N3" s="989"/>
      <c r="O3" s="989"/>
      <c r="P3" s="989"/>
      <c r="Q3" s="989"/>
      <c r="R3" s="989"/>
      <c r="S3" s="989"/>
      <c r="T3" s="989"/>
      <c r="U3" s="989"/>
      <c r="V3" s="989"/>
      <c r="W3" s="989"/>
      <c r="X3" s="989"/>
      <c r="Y3" s="989"/>
      <c r="Z3" s="989"/>
      <c r="AA3" s="989"/>
      <c r="AB3" s="989"/>
      <c r="AC3" s="989"/>
      <c r="AD3" s="989"/>
      <c r="AE3" s="989"/>
      <c r="AF3" s="989"/>
      <c r="AG3" s="989"/>
      <c r="AH3" s="989"/>
      <c r="AI3" s="989"/>
      <c r="AJ3" s="989"/>
      <c r="AK3" s="989"/>
      <c r="AL3" s="989"/>
    </row>
    <row r="4" spans="1:38" s="592" customFormat="1" ht="16.5" customHeight="1">
      <c r="A4" s="735" t="s">
        <v>235</v>
      </c>
      <c r="B4" s="1056" t="s">
        <v>237</v>
      </c>
      <c r="C4" s="701" t="s">
        <v>356</v>
      </c>
      <c r="D4" s="764"/>
      <c r="E4" s="706"/>
      <c r="F4" s="706"/>
      <c r="G4" s="706"/>
      <c r="H4" s="706"/>
      <c r="I4" s="773"/>
      <c r="J4" s="773"/>
      <c r="K4" s="707">
        <f>SUM(K5:K23)</f>
        <v>0</v>
      </c>
      <c r="L4" s="662"/>
      <c r="M4" s="662"/>
      <c r="N4" s="662"/>
      <c r="O4" s="662"/>
      <c r="P4" s="662"/>
      <c r="Q4" s="662"/>
      <c r="R4" s="662"/>
      <c r="S4" s="662"/>
      <c r="T4" s="662"/>
      <c r="U4" s="662"/>
      <c r="V4" s="662"/>
      <c r="W4" s="662"/>
      <c r="X4" s="662"/>
      <c r="Y4" s="662"/>
      <c r="Z4" s="662"/>
      <c r="AA4" s="662"/>
      <c r="AB4" s="662"/>
      <c r="AC4" s="662"/>
      <c r="AD4" s="662"/>
      <c r="AE4" s="662"/>
      <c r="AF4" s="662"/>
      <c r="AG4" s="662"/>
      <c r="AH4" s="662"/>
      <c r="AI4" s="662"/>
      <c r="AJ4" s="662"/>
      <c r="AK4" s="662"/>
      <c r="AL4" s="662"/>
    </row>
    <row r="5" spans="1:38" s="599" customFormat="1">
      <c r="A5" s="792" t="s">
        <v>1455</v>
      </c>
      <c r="B5" s="1052" t="s">
        <v>525</v>
      </c>
      <c r="C5" s="795" t="s">
        <v>409</v>
      </c>
      <c r="D5" s="791" t="s">
        <v>236</v>
      </c>
      <c r="E5" s="703">
        <v>28</v>
      </c>
      <c r="F5" s="703">
        <v>19</v>
      </c>
      <c r="G5" s="703">
        <v>18</v>
      </c>
      <c r="H5" s="703">
        <v>22</v>
      </c>
      <c r="I5" s="774">
        <f>SUM(E5:H5)</f>
        <v>87</v>
      </c>
      <c r="J5" s="771"/>
      <c r="K5" s="711">
        <f>I5*J5</f>
        <v>0</v>
      </c>
      <c r="L5" s="683"/>
      <c r="M5" s="683"/>
      <c r="N5" s="683"/>
      <c r="O5" s="683"/>
      <c r="P5" s="683"/>
      <c r="Q5" s="683"/>
      <c r="R5" s="683"/>
      <c r="S5" s="683"/>
      <c r="T5" s="683"/>
      <c r="U5" s="683"/>
      <c r="V5" s="683"/>
      <c r="W5" s="683"/>
      <c r="X5" s="683"/>
      <c r="Y5" s="683"/>
      <c r="Z5" s="683"/>
      <c r="AA5" s="683"/>
      <c r="AB5" s="683"/>
      <c r="AC5" s="683"/>
      <c r="AD5" s="683"/>
      <c r="AE5" s="683"/>
      <c r="AF5" s="683"/>
      <c r="AG5" s="683"/>
      <c r="AH5" s="683"/>
      <c r="AI5" s="683"/>
      <c r="AJ5" s="683"/>
      <c r="AK5" s="683"/>
      <c r="AL5" s="683"/>
    </row>
    <row r="6" spans="1:38">
      <c r="A6" s="978" t="s">
        <v>1456</v>
      </c>
      <c r="B6" s="793" t="s">
        <v>387</v>
      </c>
      <c r="C6" s="702"/>
      <c r="D6" s="791"/>
      <c r="E6" s="703"/>
      <c r="F6" s="703"/>
      <c r="G6" s="703"/>
      <c r="H6" s="703"/>
      <c r="I6" s="774"/>
      <c r="J6" s="775"/>
      <c r="K6" s="711"/>
    </row>
    <row r="7" spans="1:38">
      <c r="A7" s="720" t="s">
        <v>1457</v>
      </c>
      <c r="B7" s="947" t="s">
        <v>447</v>
      </c>
      <c r="C7" s="737" t="s">
        <v>411</v>
      </c>
      <c r="D7" s="742" t="s">
        <v>236</v>
      </c>
      <c r="E7" s="703">
        <f>80+60</f>
        <v>140</v>
      </c>
      <c r="F7" s="703">
        <v>252</v>
      </c>
      <c r="G7" s="703">
        <f>171+39</f>
        <v>210</v>
      </c>
      <c r="H7" s="703">
        <v>210</v>
      </c>
      <c r="I7" s="774">
        <f>SUM(E7:H7)</f>
        <v>812</v>
      </c>
      <c r="J7" s="771"/>
      <c r="K7" s="711">
        <f>I7*J7</f>
        <v>0</v>
      </c>
    </row>
    <row r="8" spans="1:38">
      <c r="A8" s="720" t="s">
        <v>1458</v>
      </c>
      <c r="B8" s="947" t="s">
        <v>502</v>
      </c>
      <c r="C8" s="737" t="s">
        <v>411</v>
      </c>
      <c r="D8" s="742" t="s">
        <v>236</v>
      </c>
      <c r="E8" s="703">
        <v>60</v>
      </c>
      <c r="F8" s="703"/>
      <c r="G8" s="703"/>
      <c r="H8" s="703"/>
      <c r="I8" s="774">
        <f>SUM(E8:H8)</f>
        <v>60</v>
      </c>
      <c r="J8" s="771"/>
      <c r="K8" s="711">
        <f>I8*J8</f>
        <v>0</v>
      </c>
    </row>
    <row r="9" spans="1:38" s="599" customFormat="1">
      <c r="A9" s="792" t="s">
        <v>1459</v>
      </c>
      <c r="B9" s="1052" t="s">
        <v>694</v>
      </c>
      <c r="C9" s="795" t="s">
        <v>429</v>
      </c>
      <c r="D9" s="791" t="s">
        <v>236</v>
      </c>
      <c r="E9" s="703">
        <v>2</v>
      </c>
      <c r="F9" s="703">
        <v>6</v>
      </c>
      <c r="G9" s="703">
        <v>1</v>
      </c>
      <c r="H9" s="703">
        <v>6</v>
      </c>
      <c r="I9" s="774">
        <f>SUM(E9:H9)</f>
        <v>15</v>
      </c>
      <c r="J9" s="771"/>
      <c r="K9" s="711">
        <f>I9*J9</f>
        <v>0</v>
      </c>
      <c r="L9" s="683"/>
      <c r="M9" s="683"/>
      <c r="N9" s="683"/>
      <c r="O9" s="683"/>
      <c r="P9" s="683"/>
      <c r="Q9" s="683"/>
      <c r="R9" s="683"/>
      <c r="S9" s="683"/>
      <c r="T9" s="683"/>
      <c r="U9" s="683"/>
      <c r="V9" s="683"/>
      <c r="W9" s="683"/>
      <c r="X9" s="683"/>
      <c r="Y9" s="683"/>
      <c r="Z9" s="683"/>
      <c r="AA9" s="683"/>
      <c r="AB9" s="683"/>
      <c r="AC9" s="683"/>
      <c r="AD9" s="683"/>
      <c r="AE9" s="683"/>
      <c r="AF9" s="683"/>
      <c r="AG9" s="683"/>
      <c r="AH9" s="683"/>
      <c r="AI9" s="683"/>
      <c r="AJ9" s="683"/>
      <c r="AK9" s="683"/>
      <c r="AL9" s="683"/>
    </row>
    <row r="10" spans="1:38" s="599" customFormat="1">
      <c r="A10" s="792" t="s">
        <v>1460</v>
      </c>
      <c r="B10" s="1052" t="s">
        <v>976</v>
      </c>
      <c r="C10" s="795" t="s">
        <v>378</v>
      </c>
      <c r="D10" s="791" t="s">
        <v>236</v>
      </c>
      <c r="E10" s="703"/>
      <c r="F10" s="703"/>
      <c r="G10" s="782"/>
      <c r="H10" s="782"/>
      <c r="I10" s="774"/>
      <c r="J10" s="775"/>
      <c r="K10" s="711"/>
      <c r="L10" s="683"/>
      <c r="M10" s="683"/>
      <c r="N10" s="683"/>
      <c r="O10" s="683"/>
      <c r="P10" s="683"/>
      <c r="Q10" s="683"/>
      <c r="R10" s="683"/>
      <c r="S10" s="683"/>
      <c r="T10" s="683"/>
      <c r="U10" s="683"/>
      <c r="V10" s="683"/>
      <c r="W10" s="683"/>
      <c r="X10" s="683"/>
      <c r="Y10" s="683"/>
      <c r="Z10" s="683"/>
      <c r="AA10" s="683"/>
      <c r="AB10" s="683"/>
      <c r="AC10" s="683"/>
      <c r="AD10" s="683"/>
      <c r="AE10" s="683"/>
      <c r="AF10" s="683"/>
      <c r="AG10" s="683"/>
      <c r="AH10" s="683"/>
      <c r="AI10" s="683"/>
      <c r="AJ10" s="683"/>
      <c r="AK10" s="683"/>
      <c r="AL10" s="683"/>
    </row>
    <row r="11" spans="1:38" s="599" customFormat="1">
      <c r="A11" s="803" t="s">
        <v>1461</v>
      </c>
      <c r="B11" s="1068" t="s">
        <v>978</v>
      </c>
      <c r="C11" s="804" t="s">
        <v>379</v>
      </c>
      <c r="D11" s="692" t="s">
        <v>18</v>
      </c>
      <c r="E11" s="703">
        <v>1</v>
      </c>
      <c r="F11" s="703"/>
      <c r="G11" s="703"/>
      <c r="H11" s="703"/>
      <c r="I11" s="774">
        <f t="shared" ref="I11:I59" si="0">SUM(E11:H11)</f>
        <v>1</v>
      </c>
      <c r="J11" s="771"/>
      <c r="K11" s="711">
        <f t="shared" ref="K11:K61" si="1">I11*J11</f>
        <v>0</v>
      </c>
      <c r="L11" s="683"/>
      <c r="M11" s="683"/>
      <c r="N11" s="683"/>
      <c r="O11" s="683"/>
      <c r="P11" s="683"/>
      <c r="Q11" s="683"/>
      <c r="R11" s="683"/>
      <c r="S11" s="683"/>
      <c r="T11" s="683"/>
      <c r="U11" s="683"/>
      <c r="V11" s="683"/>
      <c r="W11" s="683"/>
      <c r="X11" s="683"/>
      <c r="Y11" s="683"/>
      <c r="Z11" s="683"/>
      <c r="AA11" s="683"/>
      <c r="AB11" s="683"/>
      <c r="AC11" s="683"/>
      <c r="AD11" s="683"/>
      <c r="AE11" s="683"/>
      <c r="AF11" s="683"/>
      <c r="AG11" s="683"/>
      <c r="AH11" s="683"/>
      <c r="AI11" s="683"/>
      <c r="AJ11" s="683"/>
      <c r="AK11" s="683"/>
      <c r="AL11" s="683"/>
    </row>
    <row r="12" spans="1:38">
      <c r="A12" s="803" t="s">
        <v>1462</v>
      </c>
      <c r="B12" s="1069" t="s">
        <v>2734</v>
      </c>
      <c r="C12" s="804" t="s">
        <v>380</v>
      </c>
      <c r="D12" s="692" t="s">
        <v>11</v>
      </c>
      <c r="E12" s="703">
        <v>240</v>
      </c>
      <c r="F12" s="703"/>
      <c r="G12" s="703"/>
      <c r="H12" s="703"/>
      <c r="I12" s="774">
        <f t="shared" si="0"/>
        <v>240</v>
      </c>
      <c r="J12" s="771"/>
      <c r="K12" s="711">
        <f t="shared" si="1"/>
        <v>0</v>
      </c>
    </row>
    <row r="13" spans="1:38">
      <c r="A13" s="803" t="s">
        <v>1463</v>
      </c>
      <c r="B13" s="1069" t="s">
        <v>501</v>
      </c>
      <c r="C13" s="804" t="s">
        <v>979</v>
      </c>
      <c r="D13" s="692" t="s">
        <v>201</v>
      </c>
      <c r="E13" s="703">
        <v>4157</v>
      </c>
      <c r="F13" s="703"/>
      <c r="G13" s="703"/>
      <c r="H13" s="703"/>
      <c r="I13" s="774">
        <f t="shared" si="0"/>
        <v>4157</v>
      </c>
      <c r="J13" s="771"/>
      <c r="K13" s="711">
        <f t="shared" si="1"/>
        <v>0</v>
      </c>
    </row>
    <row r="14" spans="1:38" s="600" customFormat="1">
      <c r="A14" s="803" t="s">
        <v>1464</v>
      </c>
      <c r="B14" s="1068" t="s">
        <v>503</v>
      </c>
      <c r="C14" s="804" t="s">
        <v>980</v>
      </c>
      <c r="D14" s="692" t="s">
        <v>11</v>
      </c>
      <c r="E14" s="703">
        <v>240</v>
      </c>
      <c r="F14" s="703"/>
      <c r="G14" s="703"/>
      <c r="H14" s="703"/>
      <c r="I14" s="774">
        <f t="shared" si="0"/>
        <v>240</v>
      </c>
      <c r="J14" s="771"/>
      <c r="K14" s="711">
        <f t="shared" si="1"/>
        <v>0</v>
      </c>
      <c r="L14" s="682"/>
      <c r="M14" s="682"/>
      <c r="N14" s="682"/>
      <c r="O14" s="682"/>
      <c r="P14" s="682"/>
      <c r="Q14" s="682"/>
      <c r="R14" s="682"/>
      <c r="S14" s="682"/>
      <c r="T14" s="682"/>
      <c r="U14" s="682"/>
      <c r="V14" s="682"/>
      <c r="W14" s="682"/>
      <c r="X14" s="682"/>
      <c r="Y14" s="682"/>
      <c r="Z14" s="682"/>
      <c r="AA14" s="682"/>
      <c r="AB14" s="682"/>
      <c r="AC14" s="682"/>
      <c r="AD14" s="682"/>
      <c r="AE14" s="682"/>
      <c r="AF14" s="682"/>
      <c r="AG14" s="682"/>
      <c r="AH14" s="682"/>
      <c r="AI14" s="682"/>
      <c r="AJ14" s="682"/>
      <c r="AK14" s="682"/>
      <c r="AL14" s="682"/>
    </row>
    <row r="15" spans="1:38" s="600" customFormat="1">
      <c r="A15" s="803" t="s">
        <v>1465</v>
      </c>
      <c r="B15" s="1068" t="s">
        <v>527</v>
      </c>
      <c r="C15" s="804" t="s">
        <v>981</v>
      </c>
      <c r="D15" s="692" t="s">
        <v>201</v>
      </c>
      <c r="E15" s="703">
        <v>4157</v>
      </c>
      <c r="F15" s="703"/>
      <c r="G15" s="703"/>
      <c r="H15" s="703"/>
      <c r="I15" s="774">
        <f t="shared" si="0"/>
        <v>4157</v>
      </c>
      <c r="J15" s="771"/>
      <c r="K15" s="711">
        <f t="shared" si="1"/>
        <v>0</v>
      </c>
      <c r="L15" s="682"/>
      <c r="M15" s="682"/>
      <c r="N15" s="682"/>
      <c r="O15" s="682"/>
      <c r="P15" s="682"/>
      <c r="Q15" s="682"/>
      <c r="R15" s="682"/>
      <c r="S15" s="682"/>
      <c r="T15" s="682"/>
      <c r="U15" s="682"/>
      <c r="V15" s="682"/>
      <c r="W15" s="682"/>
      <c r="X15" s="682"/>
      <c r="Y15" s="682"/>
      <c r="Z15" s="682"/>
      <c r="AA15" s="682"/>
      <c r="AB15" s="682"/>
      <c r="AC15" s="682"/>
      <c r="AD15" s="682"/>
      <c r="AE15" s="682"/>
      <c r="AF15" s="682"/>
      <c r="AG15" s="682"/>
      <c r="AH15" s="682"/>
      <c r="AI15" s="682"/>
      <c r="AJ15" s="682"/>
      <c r="AK15" s="682"/>
      <c r="AL15" s="682"/>
    </row>
    <row r="16" spans="1:38" s="599" customFormat="1">
      <c r="A16" s="792" t="s">
        <v>1466</v>
      </c>
      <c r="B16" s="1052" t="s">
        <v>2281</v>
      </c>
      <c r="C16" s="795" t="s">
        <v>381</v>
      </c>
      <c r="D16" s="791" t="s">
        <v>236</v>
      </c>
      <c r="E16" s="703">
        <f>60+18</f>
        <v>78</v>
      </c>
      <c r="F16" s="703">
        <v>18</v>
      </c>
      <c r="G16" s="703">
        <f>46+18</f>
        <v>64</v>
      </c>
      <c r="H16" s="703">
        <v>28</v>
      </c>
      <c r="I16" s="774">
        <f t="shared" si="0"/>
        <v>188</v>
      </c>
      <c r="J16" s="771"/>
      <c r="K16" s="711">
        <f t="shared" si="1"/>
        <v>0</v>
      </c>
      <c r="L16" s="683"/>
      <c r="M16" s="683"/>
      <c r="N16" s="683"/>
      <c r="O16" s="683"/>
      <c r="P16" s="683"/>
      <c r="Q16" s="683"/>
      <c r="R16" s="683"/>
      <c r="S16" s="683"/>
      <c r="T16" s="683"/>
      <c r="U16" s="683"/>
      <c r="V16" s="683"/>
      <c r="W16" s="683"/>
      <c r="X16" s="683"/>
      <c r="Y16" s="683"/>
      <c r="Z16" s="683"/>
      <c r="AA16" s="683"/>
      <c r="AB16" s="683"/>
      <c r="AC16" s="683"/>
      <c r="AD16" s="683"/>
      <c r="AE16" s="683"/>
      <c r="AF16" s="683"/>
      <c r="AG16" s="683"/>
      <c r="AH16" s="683"/>
      <c r="AI16" s="683"/>
      <c r="AJ16" s="683"/>
      <c r="AK16" s="683"/>
      <c r="AL16" s="683"/>
    </row>
    <row r="17" spans="1:38" s="600" customFormat="1" ht="16.5" customHeight="1">
      <c r="A17" s="792" t="s">
        <v>1467</v>
      </c>
      <c r="B17" s="1057" t="s">
        <v>478</v>
      </c>
      <c r="C17" s="794" t="s">
        <v>410</v>
      </c>
      <c r="D17" s="791" t="s">
        <v>236</v>
      </c>
      <c r="E17" s="703">
        <v>3</v>
      </c>
      <c r="F17" s="703">
        <v>3</v>
      </c>
      <c r="G17" s="703">
        <v>4</v>
      </c>
      <c r="H17" s="703">
        <v>15</v>
      </c>
      <c r="I17" s="774">
        <f t="shared" si="0"/>
        <v>25</v>
      </c>
      <c r="J17" s="771"/>
      <c r="K17" s="711">
        <f t="shared" si="1"/>
        <v>0</v>
      </c>
      <c r="L17" s="682"/>
      <c r="M17" s="682"/>
      <c r="N17" s="682"/>
      <c r="O17" s="682"/>
      <c r="P17" s="682"/>
      <c r="Q17" s="682"/>
      <c r="R17" s="682"/>
      <c r="S17" s="682"/>
      <c r="T17" s="682"/>
      <c r="U17" s="682"/>
      <c r="V17" s="682"/>
      <c r="W17" s="682"/>
      <c r="X17" s="682"/>
      <c r="Y17" s="682"/>
      <c r="Z17" s="682"/>
      <c r="AA17" s="682"/>
      <c r="AB17" s="682"/>
      <c r="AC17" s="682"/>
      <c r="AD17" s="682"/>
      <c r="AE17" s="682"/>
      <c r="AF17" s="682"/>
      <c r="AG17" s="682"/>
      <c r="AH17" s="682"/>
      <c r="AI17" s="682"/>
      <c r="AJ17" s="682"/>
      <c r="AK17" s="682"/>
      <c r="AL17" s="682"/>
    </row>
    <row r="18" spans="1:38" s="600" customFormat="1" ht="16.5" customHeight="1">
      <c r="A18" s="792" t="s">
        <v>1468</v>
      </c>
      <c r="B18" s="1057" t="s">
        <v>721</v>
      </c>
      <c r="C18" s="795" t="s">
        <v>412</v>
      </c>
      <c r="D18" s="791" t="s">
        <v>236</v>
      </c>
      <c r="E18" s="703">
        <v>18</v>
      </c>
      <c r="F18" s="703">
        <v>18</v>
      </c>
      <c r="G18" s="703">
        <v>18</v>
      </c>
      <c r="H18" s="703">
        <v>73</v>
      </c>
      <c r="I18" s="774">
        <f t="shared" si="0"/>
        <v>127</v>
      </c>
      <c r="J18" s="771"/>
      <c r="K18" s="711">
        <f t="shared" si="1"/>
        <v>0</v>
      </c>
      <c r="L18" s="682"/>
      <c r="M18" s="682"/>
      <c r="N18" s="682"/>
      <c r="O18" s="682"/>
      <c r="P18" s="682"/>
      <c r="Q18" s="682"/>
      <c r="R18" s="682"/>
      <c r="S18" s="682"/>
      <c r="T18" s="682"/>
      <c r="U18" s="682"/>
      <c r="V18" s="682"/>
      <c r="W18" s="682"/>
      <c r="X18" s="682"/>
      <c r="Y18" s="682"/>
      <c r="Z18" s="682"/>
      <c r="AA18" s="682"/>
      <c r="AB18" s="682"/>
      <c r="AC18" s="682"/>
      <c r="AD18" s="682"/>
      <c r="AE18" s="682"/>
      <c r="AF18" s="682"/>
      <c r="AG18" s="682"/>
      <c r="AH18" s="682"/>
      <c r="AI18" s="682"/>
      <c r="AJ18" s="682"/>
      <c r="AK18" s="682"/>
      <c r="AL18" s="682"/>
    </row>
    <row r="19" spans="1:38" s="599" customFormat="1">
      <c r="A19" s="792" t="s">
        <v>1469</v>
      </c>
      <c r="B19" s="1052" t="s">
        <v>362</v>
      </c>
      <c r="C19" s="795" t="s">
        <v>389</v>
      </c>
      <c r="D19" s="791" t="s">
        <v>236</v>
      </c>
      <c r="E19" s="703">
        <v>29</v>
      </c>
      <c r="F19" s="703">
        <v>20</v>
      </c>
      <c r="G19" s="703">
        <v>7</v>
      </c>
      <c r="H19" s="703">
        <v>79</v>
      </c>
      <c r="I19" s="774">
        <f t="shared" si="0"/>
        <v>135</v>
      </c>
      <c r="J19" s="771"/>
      <c r="K19" s="711">
        <f t="shared" si="1"/>
        <v>0</v>
      </c>
      <c r="L19" s="683"/>
      <c r="M19" s="683"/>
      <c r="N19" s="683"/>
      <c r="O19" s="683"/>
      <c r="P19" s="683"/>
      <c r="Q19" s="683"/>
      <c r="R19" s="683"/>
      <c r="S19" s="683"/>
      <c r="T19" s="683"/>
      <c r="U19" s="683"/>
      <c r="V19" s="683"/>
      <c r="W19" s="683"/>
      <c r="X19" s="683"/>
      <c r="Y19" s="683"/>
      <c r="Z19" s="683"/>
      <c r="AA19" s="683"/>
      <c r="AB19" s="683"/>
      <c r="AC19" s="683"/>
      <c r="AD19" s="683"/>
      <c r="AE19" s="683"/>
      <c r="AF19" s="683"/>
      <c r="AG19" s="683"/>
      <c r="AH19" s="683"/>
      <c r="AI19" s="683"/>
      <c r="AJ19" s="683"/>
      <c r="AK19" s="683"/>
      <c r="AL19" s="683"/>
    </row>
    <row r="20" spans="1:38" s="599" customFormat="1">
      <c r="A20" s="792" t="s">
        <v>1470</v>
      </c>
      <c r="B20" s="1052" t="s">
        <v>504</v>
      </c>
      <c r="C20" s="795" t="s">
        <v>418</v>
      </c>
      <c r="D20" s="791" t="s">
        <v>236</v>
      </c>
      <c r="E20" s="703">
        <v>31</v>
      </c>
      <c r="F20" s="703">
        <v>31</v>
      </c>
      <c r="G20" s="703">
        <v>32</v>
      </c>
      <c r="H20" s="703">
        <v>131</v>
      </c>
      <c r="I20" s="774">
        <f t="shared" si="0"/>
        <v>225</v>
      </c>
      <c r="J20" s="771"/>
      <c r="K20" s="711">
        <f t="shared" si="1"/>
        <v>0</v>
      </c>
      <c r="L20" s="683"/>
      <c r="M20" s="683"/>
      <c r="N20" s="683"/>
      <c r="O20" s="683"/>
      <c r="P20" s="683"/>
      <c r="Q20" s="683"/>
      <c r="R20" s="683"/>
      <c r="S20" s="683"/>
      <c r="T20" s="683"/>
      <c r="U20" s="683"/>
      <c r="V20" s="683"/>
      <c r="W20" s="683"/>
      <c r="X20" s="683"/>
      <c r="Y20" s="683"/>
      <c r="Z20" s="683"/>
      <c r="AA20" s="683"/>
      <c r="AB20" s="683"/>
      <c r="AC20" s="683"/>
      <c r="AD20" s="683"/>
      <c r="AE20" s="683"/>
      <c r="AF20" s="683"/>
      <c r="AG20" s="683"/>
      <c r="AH20" s="683"/>
      <c r="AI20" s="683"/>
      <c r="AJ20" s="683"/>
      <c r="AK20" s="683"/>
      <c r="AL20" s="683"/>
    </row>
    <row r="21" spans="1:38" s="599" customFormat="1">
      <c r="A21" s="792" t="s">
        <v>1471</v>
      </c>
      <c r="B21" s="1052" t="s">
        <v>505</v>
      </c>
      <c r="C21" s="795"/>
      <c r="D21" s="791"/>
      <c r="E21" s="703"/>
      <c r="F21" s="703"/>
      <c r="G21" s="703"/>
      <c r="H21" s="703"/>
      <c r="I21" s="774"/>
      <c r="J21" s="775"/>
      <c r="K21" s="711"/>
      <c r="L21" s="683"/>
      <c r="M21" s="683"/>
      <c r="N21" s="683"/>
      <c r="O21" s="683"/>
      <c r="P21" s="683"/>
      <c r="Q21" s="683"/>
      <c r="R21" s="683"/>
      <c r="S21" s="683"/>
      <c r="T21" s="683"/>
      <c r="U21" s="683"/>
      <c r="V21" s="683"/>
      <c r="W21" s="683"/>
      <c r="X21" s="683"/>
      <c r="Y21" s="683"/>
      <c r="Z21" s="683"/>
      <c r="AA21" s="683"/>
      <c r="AB21" s="683"/>
      <c r="AC21" s="683"/>
      <c r="AD21" s="683"/>
      <c r="AE21" s="683"/>
      <c r="AF21" s="683"/>
      <c r="AG21" s="683"/>
      <c r="AH21" s="683"/>
      <c r="AI21" s="683"/>
      <c r="AJ21" s="683"/>
      <c r="AK21" s="683"/>
      <c r="AL21" s="683"/>
    </row>
    <row r="22" spans="1:38" s="599" customFormat="1">
      <c r="A22" s="803" t="s">
        <v>1472</v>
      </c>
      <c r="B22" s="1068" t="s">
        <v>506</v>
      </c>
      <c r="C22" s="804" t="s">
        <v>391</v>
      </c>
      <c r="D22" s="692" t="s">
        <v>236</v>
      </c>
      <c r="E22" s="703">
        <v>25</v>
      </c>
      <c r="F22" s="703">
        <v>17</v>
      </c>
      <c r="G22" s="703">
        <v>16</v>
      </c>
      <c r="H22" s="703">
        <v>20</v>
      </c>
      <c r="I22" s="774">
        <f t="shared" si="0"/>
        <v>78</v>
      </c>
      <c r="J22" s="771"/>
      <c r="K22" s="711">
        <f t="shared" si="1"/>
        <v>0</v>
      </c>
      <c r="L22" s="683"/>
      <c r="M22" s="683"/>
      <c r="N22" s="683"/>
      <c r="O22" s="683"/>
      <c r="P22" s="683"/>
      <c r="Q22" s="683"/>
      <c r="R22" s="683"/>
      <c r="S22" s="683"/>
      <c r="T22" s="683"/>
      <c r="U22" s="683"/>
      <c r="V22" s="683"/>
      <c r="W22" s="683"/>
      <c r="X22" s="683"/>
      <c r="Y22" s="683"/>
      <c r="Z22" s="683"/>
      <c r="AA22" s="683"/>
      <c r="AB22" s="683"/>
      <c r="AC22" s="683"/>
      <c r="AD22" s="683"/>
      <c r="AE22" s="683"/>
      <c r="AF22" s="683"/>
      <c r="AG22" s="683"/>
      <c r="AH22" s="683"/>
      <c r="AI22" s="683"/>
      <c r="AJ22" s="683"/>
      <c r="AK22" s="683"/>
      <c r="AL22" s="683"/>
    </row>
    <row r="23" spans="1:38" s="599" customFormat="1">
      <c r="A23" s="803" t="s">
        <v>1473</v>
      </c>
      <c r="B23" s="1068" t="s">
        <v>507</v>
      </c>
      <c r="C23" s="804" t="s">
        <v>391</v>
      </c>
      <c r="D23" s="692" t="s">
        <v>236</v>
      </c>
      <c r="E23" s="703">
        <v>3</v>
      </c>
      <c r="F23" s="703">
        <v>2</v>
      </c>
      <c r="G23" s="703">
        <v>2</v>
      </c>
      <c r="H23" s="703">
        <v>2</v>
      </c>
      <c r="I23" s="774">
        <f t="shared" si="0"/>
        <v>9</v>
      </c>
      <c r="J23" s="771"/>
      <c r="K23" s="711">
        <f t="shared" si="1"/>
        <v>0</v>
      </c>
      <c r="L23" s="683"/>
      <c r="M23" s="683"/>
      <c r="N23" s="683"/>
      <c r="O23" s="683"/>
      <c r="P23" s="683"/>
      <c r="Q23" s="683"/>
      <c r="R23" s="683"/>
      <c r="S23" s="683"/>
      <c r="T23" s="683"/>
      <c r="U23" s="683"/>
      <c r="V23" s="683"/>
      <c r="W23" s="683"/>
      <c r="X23" s="683"/>
      <c r="Y23" s="683"/>
      <c r="Z23" s="683"/>
      <c r="AA23" s="683"/>
      <c r="AB23" s="683"/>
      <c r="AC23" s="683"/>
      <c r="AD23" s="683"/>
      <c r="AE23" s="683"/>
      <c r="AF23" s="683"/>
      <c r="AG23" s="683"/>
      <c r="AH23" s="683"/>
      <c r="AI23" s="683"/>
      <c r="AJ23" s="683"/>
      <c r="AK23" s="683"/>
      <c r="AL23" s="683"/>
    </row>
    <row r="24" spans="1:38" s="592" customFormat="1" ht="16.5" customHeight="1">
      <c r="A24" s="712" t="s">
        <v>359</v>
      </c>
      <c r="B24" s="1056" t="s">
        <v>983</v>
      </c>
      <c r="C24" s="701" t="s">
        <v>357</v>
      </c>
      <c r="D24" s="764"/>
      <c r="E24" s="706"/>
      <c r="F24" s="706"/>
      <c r="G24" s="706"/>
      <c r="H24" s="706"/>
      <c r="I24" s="773"/>
      <c r="J24" s="773"/>
      <c r="K24" s="707">
        <f>SUM(K25:K31)</f>
        <v>0</v>
      </c>
      <c r="L24" s="662"/>
      <c r="M24" s="662"/>
      <c r="N24" s="662"/>
      <c r="O24" s="662"/>
      <c r="P24" s="662"/>
      <c r="Q24" s="662"/>
      <c r="R24" s="662"/>
      <c r="S24" s="662"/>
      <c r="T24" s="662"/>
      <c r="U24" s="662"/>
      <c r="V24" s="662"/>
      <c r="W24" s="662"/>
      <c r="X24" s="662"/>
      <c r="Y24" s="662"/>
      <c r="Z24" s="662"/>
      <c r="AA24" s="662"/>
      <c r="AB24" s="662"/>
      <c r="AC24" s="662"/>
      <c r="AD24" s="662"/>
      <c r="AE24" s="662"/>
      <c r="AF24" s="662"/>
      <c r="AG24" s="662"/>
      <c r="AH24" s="662"/>
      <c r="AI24" s="662"/>
      <c r="AJ24" s="662"/>
      <c r="AK24" s="662"/>
      <c r="AL24" s="662"/>
    </row>
    <row r="25" spans="1:38" s="596" customFormat="1">
      <c r="A25" s="719" t="s">
        <v>1474</v>
      </c>
      <c r="B25" s="1052" t="s">
        <v>508</v>
      </c>
      <c r="C25" s="702" t="s">
        <v>497</v>
      </c>
      <c r="D25" s="791" t="s">
        <v>236</v>
      </c>
      <c r="E25" s="703">
        <v>2</v>
      </c>
      <c r="F25" s="703">
        <v>2</v>
      </c>
      <c r="G25" s="703">
        <v>2</v>
      </c>
      <c r="H25" s="703">
        <v>3</v>
      </c>
      <c r="I25" s="774">
        <f t="shared" si="0"/>
        <v>9</v>
      </c>
      <c r="J25" s="771"/>
      <c r="K25" s="711">
        <f t="shared" si="1"/>
        <v>0</v>
      </c>
      <c r="L25" s="664"/>
      <c r="M25" s="664"/>
      <c r="N25" s="664"/>
      <c r="O25" s="664"/>
      <c r="P25" s="664"/>
      <c r="Q25" s="664"/>
      <c r="R25" s="664"/>
      <c r="S25" s="664"/>
      <c r="T25" s="664"/>
      <c r="U25" s="664"/>
      <c r="V25" s="664"/>
      <c r="W25" s="664"/>
      <c r="X25" s="664"/>
      <c r="Y25" s="664"/>
      <c r="Z25" s="664"/>
      <c r="AA25" s="664"/>
      <c r="AB25" s="664"/>
      <c r="AC25" s="664"/>
      <c r="AD25" s="664"/>
      <c r="AE25" s="664"/>
      <c r="AF25" s="664"/>
      <c r="AG25" s="664"/>
      <c r="AH25" s="664"/>
      <c r="AI25" s="664"/>
      <c r="AJ25" s="664"/>
      <c r="AK25" s="664"/>
      <c r="AL25" s="664"/>
    </row>
    <row r="26" spans="1:38" s="596" customFormat="1">
      <c r="A26" s="719" t="s">
        <v>1475</v>
      </c>
      <c r="B26" s="1052" t="s">
        <v>982</v>
      </c>
      <c r="C26" s="702"/>
      <c r="D26" s="791"/>
      <c r="E26" s="703"/>
      <c r="F26" s="703"/>
      <c r="G26" s="703"/>
      <c r="H26" s="703"/>
      <c r="I26" s="774"/>
      <c r="J26" s="775"/>
      <c r="K26" s="711"/>
      <c r="L26" s="664"/>
      <c r="M26" s="664"/>
      <c r="N26" s="664"/>
      <c r="O26" s="664"/>
      <c r="P26" s="664"/>
      <c r="Q26" s="664"/>
      <c r="R26" s="664"/>
      <c r="S26" s="664"/>
      <c r="T26" s="664"/>
      <c r="U26" s="664"/>
      <c r="V26" s="664"/>
      <c r="W26" s="664"/>
      <c r="X26" s="664"/>
      <c r="Y26" s="664"/>
      <c r="Z26" s="664"/>
      <c r="AA26" s="664"/>
      <c r="AB26" s="664"/>
      <c r="AC26" s="664"/>
      <c r="AD26" s="664"/>
      <c r="AE26" s="664"/>
      <c r="AF26" s="664"/>
      <c r="AG26" s="664"/>
      <c r="AH26" s="664"/>
      <c r="AI26" s="664"/>
      <c r="AJ26" s="664"/>
      <c r="AK26" s="664"/>
      <c r="AL26" s="664"/>
    </row>
    <row r="27" spans="1:38">
      <c r="A27" s="799" t="s">
        <v>1476</v>
      </c>
      <c r="B27" s="1069" t="s">
        <v>986</v>
      </c>
      <c r="C27" s="800" t="s">
        <v>433</v>
      </c>
      <c r="D27" s="692" t="s">
        <v>236</v>
      </c>
      <c r="E27" s="703">
        <v>5</v>
      </c>
      <c r="F27" s="703">
        <v>5</v>
      </c>
      <c r="G27" s="703">
        <v>5</v>
      </c>
      <c r="H27" s="703">
        <v>7</v>
      </c>
      <c r="I27" s="774">
        <f t="shared" si="0"/>
        <v>22</v>
      </c>
      <c r="J27" s="771"/>
      <c r="K27" s="711">
        <f t="shared" si="1"/>
        <v>0</v>
      </c>
    </row>
    <row r="28" spans="1:38">
      <c r="A28" s="799" t="s">
        <v>1477</v>
      </c>
      <c r="B28" s="1070" t="s">
        <v>987</v>
      </c>
      <c r="C28" s="800" t="s">
        <v>433</v>
      </c>
      <c r="D28" s="800" t="s">
        <v>236</v>
      </c>
      <c r="E28" s="703">
        <v>15</v>
      </c>
      <c r="F28" s="703">
        <v>12.5</v>
      </c>
      <c r="G28" s="703">
        <v>11</v>
      </c>
      <c r="H28" s="703">
        <v>14</v>
      </c>
      <c r="I28" s="774">
        <f t="shared" si="0"/>
        <v>52.5</v>
      </c>
      <c r="J28" s="771"/>
      <c r="K28" s="711">
        <f t="shared" si="1"/>
        <v>0</v>
      </c>
    </row>
    <row r="29" spans="1:38">
      <c r="A29" s="799" t="s">
        <v>1478</v>
      </c>
      <c r="B29" s="1071" t="s">
        <v>988</v>
      </c>
      <c r="C29" s="800" t="s">
        <v>433</v>
      </c>
      <c r="D29" s="800" t="s">
        <v>236</v>
      </c>
      <c r="E29" s="703">
        <v>4</v>
      </c>
      <c r="F29" s="703">
        <v>4</v>
      </c>
      <c r="G29" s="703">
        <v>4</v>
      </c>
      <c r="H29" s="703">
        <v>6</v>
      </c>
      <c r="I29" s="774">
        <f t="shared" si="0"/>
        <v>18</v>
      </c>
      <c r="J29" s="771"/>
      <c r="K29" s="711">
        <f t="shared" si="1"/>
        <v>0</v>
      </c>
    </row>
    <row r="30" spans="1:38" s="602" customFormat="1">
      <c r="A30" s="713" t="s">
        <v>1479</v>
      </c>
      <c r="B30" s="1072" t="s">
        <v>2841</v>
      </c>
      <c r="C30" s="738" t="s">
        <v>528</v>
      </c>
      <c r="D30" s="738" t="s">
        <v>201</v>
      </c>
      <c r="E30" s="703">
        <v>2000</v>
      </c>
      <c r="F30" s="703">
        <v>1800</v>
      </c>
      <c r="G30" s="703">
        <v>1600</v>
      </c>
      <c r="H30" s="703">
        <v>2200</v>
      </c>
      <c r="I30" s="774">
        <f t="shared" si="0"/>
        <v>7600</v>
      </c>
      <c r="J30" s="771"/>
      <c r="K30" s="711">
        <f t="shared" si="1"/>
        <v>0</v>
      </c>
      <c r="L30" s="684"/>
      <c r="M30" s="684"/>
      <c r="N30" s="684"/>
      <c r="O30" s="684"/>
      <c r="P30" s="684"/>
      <c r="Q30" s="684"/>
      <c r="R30" s="684"/>
      <c r="S30" s="684"/>
      <c r="T30" s="684"/>
      <c r="U30" s="684"/>
      <c r="V30" s="684"/>
      <c r="W30" s="684"/>
      <c r="X30" s="684"/>
      <c r="Y30" s="684"/>
      <c r="Z30" s="684"/>
      <c r="AA30" s="684"/>
      <c r="AB30" s="684"/>
      <c r="AC30" s="684"/>
      <c r="AD30" s="684"/>
      <c r="AE30" s="684"/>
      <c r="AF30" s="684"/>
      <c r="AG30" s="684"/>
      <c r="AH30" s="684"/>
      <c r="AI30" s="684"/>
      <c r="AJ30" s="684"/>
      <c r="AK30" s="684"/>
      <c r="AL30" s="684"/>
    </row>
    <row r="31" spans="1:38" s="595" customFormat="1">
      <c r="A31" s="713" t="s">
        <v>1480</v>
      </c>
      <c r="B31" s="1059" t="s">
        <v>509</v>
      </c>
      <c r="C31" s="702" t="s">
        <v>529</v>
      </c>
      <c r="D31" s="702" t="s">
        <v>236</v>
      </c>
      <c r="E31" s="703">
        <v>4</v>
      </c>
      <c r="F31" s="703">
        <v>4</v>
      </c>
      <c r="G31" s="703">
        <v>4</v>
      </c>
      <c r="H31" s="703">
        <v>5</v>
      </c>
      <c r="I31" s="774">
        <f t="shared" si="0"/>
        <v>17</v>
      </c>
      <c r="J31" s="771"/>
      <c r="K31" s="711">
        <f t="shared" si="1"/>
        <v>0</v>
      </c>
      <c r="L31" s="680"/>
      <c r="M31" s="680"/>
      <c r="N31" s="680"/>
      <c r="O31" s="680"/>
      <c r="P31" s="680"/>
      <c r="Q31" s="680"/>
      <c r="R31" s="680"/>
      <c r="S31" s="680"/>
      <c r="T31" s="680"/>
      <c r="U31" s="680"/>
      <c r="V31" s="680"/>
      <c r="W31" s="680"/>
      <c r="X31" s="680"/>
      <c r="Y31" s="680"/>
      <c r="Z31" s="680"/>
      <c r="AA31" s="680"/>
      <c r="AB31" s="680"/>
      <c r="AC31" s="680"/>
      <c r="AD31" s="680"/>
      <c r="AE31" s="680"/>
      <c r="AF31" s="680"/>
      <c r="AG31" s="680"/>
      <c r="AH31" s="680"/>
      <c r="AI31" s="680"/>
      <c r="AJ31" s="680"/>
      <c r="AK31" s="680"/>
      <c r="AL31" s="680"/>
    </row>
    <row r="32" spans="1:38">
      <c r="A32" s="713" t="s">
        <v>1481</v>
      </c>
      <c r="B32" s="1060" t="s">
        <v>511</v>
      </c>
      <c r="C32" s="702" t="s">
        <v>984</v>
      </c>
      <c r="D32" s="702" t="s">
        <v>234</v>
      </c>
      <c r="E32" s="703">
        <v>18</v>
      </c>
      <c r="F32" s="703">
        <v>18</v>
      </c>
      <c r="G32" s="703">
        <v>18</v>
      </c>
      <c r="H32" s="703">
        <v>28</v>
      </c>
      <c r="I32" s="774">
        <f>SUM(E32:H32)</f>
        <v>82</v>
      </c>
      <c r="J32" s="771"/>
      <c r="K32" s="711">
        <f>I32*J32</f>
        <v>0</v>
      </c>
    </row>
    <row r="33" spans="1:38" s="592" customFormat="1" ht="16.5" customHeight="1">
      <c r="A33" s="712" t="s">
        <v>360</v>
      </c>
      <c r="B33" s="1056" t="s">
        <v>512</v>
      </c>
      <c r="C33" s="701" t="s">
        <v>2257</v>
      </c>
      <c r="D33" s="764"/>
      <c r="E33" s="706"/>
      <c r="F33" s="706"/>
      <c r="G33" s="706"/>
      <c r="H33" s="706"/>
      <c r="I33" s="773"/>
      <c r="J33" s="773"/>
      <c r="K33" s="707">
        <f>SUM(K34:K51)</f>
        <v>0</v>
      </c>
      <c r="L33" s="662"/>
      <c r="M33" s="662"/>
      <c r="N33" s="662"/>
      <c r="O33" s="662"/>
      <c r="P33" s="662"/>
      <c r="Q33" s="662"/>
      <c r="R33" s="662"/>
      <c r="S33" s="662"/>
      <c r="T33" s="662"/>
      <c r="U33" s="662"/>
      <c r="V33" s="662"/>
      <c r="W33" s="662"/>
      <c r="X33" s="662"/>
      <c r="Y33" s="662"/>
      <c r="Z33" s="662"/>
      <c r="AA33" s="662"/>
      <c r="AB33" s="662"/>
      <c r="AC33" s="662"/>
      <c r="AD33" s="662"/>
      <c r="AE33" s="662"/>
      <c r="AF33" s="662"/>
      <c r="AG33" s="662"/>
      <c r="AH33" s="662"/>
      <c r="AI33" s="662"/>
      <c r="AJ33" s="662"/>
      <c r="AK33" s="662"/>
      <c r="AL33" s="662"/>
    </row>
    <row r="34" spans="1:38">
      <c r="A34" s="719" t="s">
        <v>1482</v>
      </c>
      <c r="B34" s="1060" t="str">
        <f>'1. KOLEKTORI'!B150</f>
        <v>GRP cijevi - gravitacijske</v>
      </c>
      <c r="C34" s="1368" t="str">
        <f>'1. KOLEKTORI'!C150</f>
        <v>2.8.3</v>
      </c>
      <c r="D34" s="702"/>
      <c r="E34" s="703"/>
      <c r="F34" s="703"/>
      <c r="G34" s="703"/>
      <c r="H34" s="703"/>
      <c r="I34" s="774"/>
      <c r="J34" s="775"/>
      <c r="K34" s="711"/>
    </row>
    <row r="35" spans="1:38">
      <c r="A35" s="799" t="s">
        <v>1483</v>
      </c>
      <c r="B35" s="1073" t="s">
        <v>513</v>
      </c>
      <c r="C35" s="800"/>
      <c r="D35" s="800" t="s">
        <v>11</v>
      </c>
      <c r="E35" s="703">
        <v>10</v>
      </c>
      <c r="F35" s="703"/>
      <c r="G35" s="703"/>
      <c r="H35" s="703"/>
      <c r="I35" s="774">
        <f t="shared" si="0"/>
        <v>10</v>
      </c>
      <c r="J35" s="771"/>
      <c r="K35" s="711">
        <f t="shared" si="1"/>
        <v>0</v>
      </c>
    </row>
    <row r="36" spans="1:38">
      <c r="A36" s="799" t="s">
        <v>1484</v>
      </c>
      <c r="B36" s="1073" t="s">
        <v>535</v>
      </c>
      <c r="C36" s="800"/>
      <c r="D36" s="800" t="s">
        <v>11</v>
      </c>
      <c r="E36" s="703"/>
      <c r="F36" s="703">
        <v>10</v>
      </c>
      <c r="G36" s="703">
        <v>8</v>
      </c>
      <c r="H36" s="703">
        <v>33</v>
      </c>
      <c r="I36" s="774">
        <f>SUM(E36:H36)</f>
        <v>51</v>
      </c>
      <c r="J36" s="771"/>
      <c r="K36" s="711">
        <f>I36*J36</f>
        <v>0</v>
      </c>
    </row>
    <row r="37" spans="1:38">
      <c r="A37" s="719" t="s">
        <v>1485</v>
      </c>
      <c r="B37" s="1060" t="s">
        <v>2554</v>
      </c>
      <c r="C37" s="702"/>
      <c r="D37" s="702"/>
      <c r="E37" s="703"/>
      <c r="F37" s="703"/>
      <c r="G37" s="703"/>
      <c r="H37" s="703"/>
      <c r="I37" s="774"/>
      <c r="J37" s="775"/>
      <c r="K37" s="711"/>
    </row>
    <row r="38" spans="1:38">
      <c r="A38" s="799" t="s">
        <v>1486</v>
      </c>
      <c r="B38" s="1073" t="s">
        <v>2553</v>
      </c>
      <c r="C38" s="800"/>
      <c r="D38" s="800" t="s">
        <v>18</v>
      </c>
      <c r="E38" s="703">
        <v>1</v>
      </c>
      <c r="F38" s="703"/>
      <c r="G38" s="703"/>
      <c r="H38" s="703"/>
      <c r="I38" s="774">
        <f t="shared" si="0"/>
        <v>1</v>
      </c>
      <c r="J38" s="771"/>
      <c r="K38" s="711">
        <f t="shared" si="1"/>
        <v>0</v>
      </c>
    </row>
    <row r="39" spans="1:38">
      <c r="A39" s="799" t="s">
        <v>1487</v>
      </c>
      <c r="B39" s="1073" t="s">
        <v>2553</v>
      </c>
      <c r="C39" s="800"/>
      <c r="D39" s="800" t="s">
        <v>18</v>
      </c>
      <c r="E39" s="703"/>
      <c r="F39" s="703">
        <v>1</v>
      </c>
      <c r="G39" s="703">
        <v>1</v>
      </c>
      <c r="H39" s="703">
        <v>1</v>
      </c>
      <c r="I39" s="774">
        <f t="shared" si="0"/>
        <v>3</v>
      </c>
      <c r="J39" s="771"/>
      <c r="K39" s="711">
        <f t="shared" si="1"/>
        <v>0</v>
      </c>
    </row>
    <row r="40" spans="1:38">
      <c r="A40" s="717" t="s">
        <v>1488</v>
      </c>
      <c r="B40" s="1074" t="s">
        <v>2555</v>
      </c>
      <c r="C40" s="1367">
        <v>43314</v>
      </c>
      <c r="D40" s="702"/>
      <c r="E40" s="703"/>
      <c r="F40" s="703"/>
      <c r="G40" s="703"/>
      <c r="H40" s="703"/>
      <c r="I40" s="774"/>
      <c r="J40" s="775"/>
      <c r="K40" s="711"/>
    </row>
    <row r="41" spans="1:38" s="596" customFormat="1">
      <c r="A41" s="819" t="s">
        <v>1489</v>
      </c>
      <c r="B41" s="1036" t="s">
        <v>2556</v>
      </c>
      <c r="C41" s="800"/>
      <c r="D41" s="800" t="s">
        <v>18</v>
      </c>
      <c r="E41" s="703"/>
      <c r="F41" s="703">
        <v>3</v>
      </c>
      <c r="G41" s="703">
        <v>2</v>
      </c>
      <c r="H41" s="703">
        <v>2</v>
      </c>
      <c r="I41" s="774">
        <f t="shared" ref="I41:I45" si="2">SUM(E41:H41)</f>
        <v>7</v>
      </c>
      <c r="J41" s="771"/>
      <c r="K41" s="711">
        <f>I41*J41</f>
        <v>0</v>
      </c>
      <c r="L41" s="664"/>
      <c r="M41" s="664"/>
      <c r="N41" s="664"/>
      <c r="O41" s="664"/>
      <c r="P41" s="664"/>
      <c r="Q41" s="664"/>
      <c r="R41" s="664"/>
      <c r="S41" s="664"/>
      <c r="T41" s="664"/>
      <c r="U41" s="664"/>
      <c r="V41" s="664"/>
      <c r="W41" s="664"/>
      <c r="X41" s="664"/>
      <c r="Y41" s="664"/>
      <c r="Z41" s="664"/>
      <c r="AA41" s="664"/>
      <c r="AB41" s="664"/>
      <c r="AC41" s="664"/>
      <c r="AD41" s="664"/>
      <c r="AE41" s="664"/>
      <c r="AF41" s="664"/>
      <c r="AG41" s="664"/>
      <c r="AH41" s="664"/>
      <c r="AI41" s="664"/>
      <c r="AJ41" s="664"/>
      <c r="AK41" s="664"/>
      <c r="AL41" s="664"/>
    </row>
    <row r="42" spans="1:38" ht="12.75" customHeight="1">
      <c r="A42" s="819" t="s">
        <v>1490</v>
      </c>
      <c r="B42" s="1036" t="s">
        <v>2557</v>
      </c>
      <c r="C42" s="800"/>
      <c r="D42" s="800" t="s">
        <v>18</v>
      </c>
      <c r="E42" s="703">
        <v>2</v>
      </c>
      <c r="F42" s="703"/>
      <c r="G42" s="703"/>
      <c r="H42" s="703">
        <v>2</v>
      </c>
      <c r="I42" s="774">
        <f t="shared" si="2"/>
        <v>4</v>
      </c>
      <c r="J42" s="771"/>
      <c r="K42" s="711">
        <f>I42*J42</f>
        <v>0</v>
      </c>
    </row>
    <row r="43" spans="1:38" ht="12.75" customHeight="1">
      <c r="A43" s="819" t="s">
        <v>1491</v>
      </c>
      <c r="B43" s="1036" t="s">
        <v>2559</v>
      </c>
      <c r="C43" s="800"/>
      <c r="D43" s="800" t="s">
        <v>18</v>
      </c>
      <c r="E43" s="703"/>
      <c r="F43" s="703"/>
      <c r="G43" s="703"/>
      <c r="H43" s="703">
        <v>1</v>
      </c>
      <c r="I43" s="774">
        <f t="shared" si="2"/>
        <v>1</v>
      </c>
      <c r="J43" s="771"/>
      <c r="K43" s="711">
        <f>I43*J43</f>
        <v>0</v>
      </c>
    </row>
    <row r="44" spans="1:38">
      <c r="A44" s="819" t="s">
        <v>1492</v>
      </c>
      <c r="B44" s="1073" t="s">
        <v>2558</v>
      </c>
      <c r="C44" s="800"/>
      <c r="D44" s="800" t="s">
        <v>18</v>
      </c>
      <c r="E44" s="703">
        <v>1</v>
      </c>
      <c r="F44" s="703"/>
      <c r="G44" s="703">
        <v>1</v>
      </c>
      <c r="H44" s="703"/>
      <c r="I44" s="774">
        <f t="shared" si="2"/>
        <v>2</v>
      </c>
      <c r="J44" s="771"/>
      <c r="K44" s="711">
        <f>I44*J44</f>
        <v>0</v>
      </c>
    </row>
    <row r="45" spans="1:38" ht="16.5" customHeight="1">
      <c r="A45" s="717" t="s">
        <v>1493</v>
      </c>
      <c r="B45" s="1060" t="s">
        <v>2560</v>
      </c>
      <c r="C45" s="740" t="str">
        <f>'1. KOLEKTORI'!C206</f>
        <v>2.8.13</v>
      </c>
      <c r="D45" s="702" t="s">
        <v>18</v>
      </c>
      <c r="E45" s="703">
        <v>3</v>
      </c>
      <c r="F45" s="703">
        <v>3</v>
      </c>
      <c r="G45" s="703">
        <v>4</v>
      </c>
      <c r="H45" s="703">
        <v>5</v>
      </c>
      <c r="I45" s="774">
        <f t="shared" si="2"/>
        <v>15</v>
      </c>
      <c r="J45" s="771"/>
      <c r="K45" s="711">
        <f>I45*J45</f>
        <v>0</v>
      </c>
    </row>
    <row r="46" spans="1:38">
      <c r="A46" s="719" t="s">
        <v>1494</v>
      </c>
      <c r="B46" s="1060" t="s">
        <v>514</v>
      </c>
      <c r="C46" s="1367" t="s">
        <v>2561</v>
      </c>
      <c r="D46" s="702"/>
      <c r="E46" s="703"/>
      <c r="F46" s="703"/>
      <c r="G46" s="703"/>
      <c r="H46" s="703"/>
      <c r="I46" s="774"/>
      <c r="J46" s="775"/>
      <c r="K46" s="711"/>
    </row>
    <row r="47" spans="1:38">
      <c r="A47" s="799" t="s">
        <v>1495</v>
      </c>
      <c r="B47" s="1073" t="s">
        <v>513</v>
      </c>
      <c r="C47" s="800"/>
      <c r="D47" s="800" t="s">
        <v>18</v>
      </c>
      <c r="E47" s="703">
        <v>1</v>
      </c>
      <c r="F47" s="703"/>
      <c r="G47" s="703"/>
      <c r="H47" s="703"/>
      <c r="I47" s="774">
        <f t="shared" si="0"/>
        <v>1</v>
      </c>
      <c r="J47" s="771"/>
      <c r="K47" s="711">
        <f t="shared" si="1"/>
        <v>0</v>
      </c>
    </row>
    <row r="48" spans="1:38">
      <c r="A48" s="799" t="s">
        <v>1496</v>
      </c>
      <c r="B48" s="1073" t="s">
        <v>535</v>
      </c>
      <c r="C48" s="800"/>
      <c r="D48" s="800" t="s">
        <v>18</v>
      </c>
      <c r="E48" s="703"/>
      <c r="F48" s="703">
        <v>1</v>
      </c>
      <c r="G48" s="703">
        <v>1</v>
      </c>
      <c r="H48" s="703">
        <v>1</v>
      </c>
      <c r="I48" s="774">
        <f t="shared" si="0"/>
        <v>3</v>
      </c>
      <c r="J48" s="771"/>
      <c r="K48" s="711">
        <f t="shared" si="1"/>
        <v>0</v>
      </c>
    </row>
    <row r="49" spans="1:38">
      <c r="A49" s="719" t="s">
        <v>1497</v>
      </c>
      <c r="B49" s="1060" t="s">
        <v>515</v>
      </c>
      <c r="C49" s="702" t="s">
        <v>2562</v>
      </c>
      <c r="D49" s="702" t="s">
        <v>18</v>
      </c>
      <c r="E49" s="703">
        <v>1</v>
      </c>
      <c r="F49" s="703"/>
      <c r="G49" s="703">
        <v>1</v>
      </c>
      <c r="H49" s="703"/>
      <c r="I49" s="774">
        <f t="shared" si="0"/>
        <v>2</v>
      </c>
      <c r="J49" s="771"/>
      <c r="K49" s="711">
        <f t="shared" si="1"/>
        <v>0</v>
      </c>
    </row>
    <row r="50" spans="1:38" ht="15.75" customHeight="1">
      <c r="A50" s="719" t="s">
        <v>1498</v>
      </c>
      <c r="B50" s="1060" t="s">
        <v>553</v>
      </c>
      <c r="C50" s="1325" t="str">
        <f>'1. KOLEKTORI'!C250</f>
        <v>2.10.7.</v>
      </c>
      <c r="D50" s="702" t="s">
        <v>11</v>
      </c>
      <c r="E50" s="703">
        <v>10</v>
      </c>
      <c r="F50" s="703">
        <v>10</v>
      </c>
      <c r="G50" s="703">
        <v>8</v>
      </c>
      <c r="H50" s="703">
        <v>33</v>
      </c>
      <c r="I50" s="774">
        <f t="shared" si="0"/>
        <v>61</v>
      </c>
      <c r="J50" s="771"/>
      <c r="K50" s="711">
        <f t="shared" si="1"/>
        <v>0</v>
      </c>
    </row>
    <row r="51" spans="1:38">
      <c r="A51" s="719" t="s">
        <v>1499</v>
      </c>
      <c r="B51" s="1060" t="s">
        <v>516</v>
      </c>
      <c r="C51" s="702" t="s">
        <v>393</v>
      </c>
      <c r="D51" s="702" t="s">
        <v>18</v>
      </c>
      <c r="E51" s="703">
        <v>1</v>
      </c>
      <c r="F51" s="703">
        <v>1</v>
      </c>
      <c r="G51" s="703">
        <v>1</v>
      </c>
      <c r="H51" s="703">
        <v>1</v>
      </c>
      <c r="I51" s="774">
        <f t="shared" si="0"/>
        <v>4</v>
      </c>
      <c r="J51" s="771"/>
      <c r="K51" s="711">
        <f t="shared" si="1"/>
        <v>0</v>
      </c>
    </row>
    <row r="52" spans="1:38" s="802" customFormat="1" ht="16.5" customHeight="1">
      <c r="A52" s="719" t="s">
        <v>1500</v>
      </c>
      <c r="B52" s="1052" t="s">
        <v>533</v>
      </c>
      <c r="C52" s="740" t="s">
        <v>2541</v>
      </c>
      <c r="D52" s="824"/>
      <c r="E52" s="814"/>
      <c r="F52" s="814"/>
      <c r="G52" s="814"/>
      <c r="H52" s="814"/>
      <c r="I52" s="774"/>
      <c r="J52" s="939"/>
      <c r="K52" s="711"/>
      <c r="L52" s="801"/>
      <c r="M52" s="801"/>
      <c r="N52" s="801"/>
      <c r="O52" s="801"/>
      <c r="P52" s="801"/>
      <c r="Q52" s="801"/>
      <c r="R52" s="801"/>
      <c r="S52" s="801"/>
      <c r="T52" s="801"/>
      <c r="U52" s="801"/>
      <c r="V52" s="801"/>
      <c r="W52" s="801"/>
      <c r="X52" s="801"/>
      <c r="Y52" s="801"/>
      <c r="Z52" s="801"/>
      <c r="AA52" s="801"/>
      <c r="AB52" s="801"/>
      <c r="AC52" s="801"/>
      <c r="AD52" s="801"/>
      <c r="AE52" s="801"/>
      <c r="AF52" s="801"/>
      <c r="AG52" s="801"/>
      <c r="AH52" s="801"/>
      <c r="AI52" s="801"/>
      <c r="AJ52" s="801"/>
      <c r="AK52" s="801"/>
      <c r="AL52" s="801"/>
    </row>
    <row r="53" spans="1:38" s="802" customFormat="1" ht="16.5" customHeight="1">
      <c r="A53" s="819" t="s">
        <v>1501</v>
      </c>
      <c r="B53" s="1075" t="s">
        <v>2565</v>
      </c>
      <c r="C53" s="813" t="s">
        <v>2564</v>
      </c>
      <c r="D53" s="800" t="s">
        <v>18</v>
      </c>
      <c r="E53" s="703">
        <v>2</v>
      </c>
      <c r="F53" s="703"/>
      <c r="G53" s="703"/>
      <c r="H53" s="703"/>
      <c r="I53" s="774">
        <f>SUM(E53:H53)</f>
        <v>2</v>
      </c>
      <c r="J53" s="940"/>
      <c r="K53" s="711">
        <f>I53*J53</f>
        <v>0</v>
      </c>
      <c r="L53" s="801"/>
      <c r="M53" s="801"/>
      <c r="N53" s="801"/>
      <c r="O53" s="801"/>
      <c r="P53" s="801"/>
      <c r="Q53" s="801"/>
      <c r="R53" s="801"/>
      <c r="S53" s="801"/>
      <c r="T53" s="801"/>
      <c r="U53" s="801"/>
      <c r="V53" s="801"/>
      <c r="W53" s="801"/>
      <c r="X53" s="801"/>
      <c r="Y53" s="801"/>
      <c r="Z53" s="801"/>
      <c r="AA53" s="801"/>
      <c r="AB53" s="801"/>
      <c r="AC53" s="801"/>
      <c r="AD53" s="801"/>
      <c r="AE53" s="801"/>
      <c r="AF53" s="801"/>
      <c r="AG53" s="801"/>
      <c r="AH53" s="801"/>
      <c r="AI53" s="801"/>
      <c r="AJ53" s="801"/>
      <c r="AK53" s="801"/>
      <c r="AL53" s="801"/>
    </row>
    <row r="54" spans="1:38" s="596" customFormat="1">
      <c r="A54" s="819" t="s">
        <v>1502</v>
      </c>
      <c r="B54" s="1076" t="s">
        <v>534</v>
      </c>
      <c r="C54" s="800" t="s">
        <v>2563</v>
      </c>
      <c r="D54" s="800" t="s">
        <v>18</v>
      </c>
      <c r="E54" s="943"/>
      <c r="F54" s="703">
        <v>18</v>
      </c>
      <c r="G54" s="703">
        <v>12</v>
      </c>
      <c r="H54" s="703">
        <v>12</v>
      </c>
      <c r="I54" s="774">
        <f>SUM(E54:H54)</f>
        <v>42</v>
      </c>
      <c r="J54" s="771"/>
      <c r="K54" s="711">
        <f>I54*J54</f>
        <v>0</v>
      </c>
      <c r="L54" s="664"/>
      <c r="M54" s="664"/>
      <c r="N54" s="664"/>
      <c r="O54" s="664"/>
      <c r="P54" s="664"/>
      <c r="Q54" s="664"/>
      <c r="R54" s="664"/>
      <c r="S54" s="664"/>
      <c r="T54" s="664"/>
      <c r="U54" s="664"/>
      <c r="V54" s="664"/>
      <c r="W54" s="664"/>
      <c r="X54" s="664"/>
      <c r="Y54" s="664"/>
      <c r="Z54" s="664"/>
      <c r="AA54" s="664"/>
      <c r="AB54" s="664"/>
      <c r="AC54" s="664"/>
      <c r="AD54" s="664"/>
      <c r="AE54" s="664"/>
      <c r="AF54" s="664"/>
      <c r="AG54" s="664"/>
      <c r="AH54" s="664"/>
      <c r="AI54" s="664"/>
      <c r="AJ54" s="664"/>
      <c r="AK54" s="664"/>
      <c r="AL54" s="664"/>
    </row>
    <row r="55" spans="1:38">
      <c r="A55" s="719" t="s">
        <v>1503</v>
      </c>
      <c r="B55" s="1060" t="s">
        <v>510</v>
      </c>
      <c r="C55" s="702" t="s">
        <v>2566</v>
      </c>
      <c r="D55" s="702" t="s">
        <v>11</v>
      </c>
      <c r="E55" s="703">
        <v>18</v>
      </c>
      <c r="F55" s="703">
        <v>18</v>
      </c>
      <c r="G55" s="703">
        <v>18</v>
      </c>
      <c r="H55" s="703">
        <v>24</v>
      </c>
      <c r="I55" s="774">
        <f>SUM(E55:H55)</f>
        <v>78</v>
      </c>
      <c r="J55" s="771"/>
      <c r="K55" s="711">
        <f>I55*J55</f>
        <v>0</v>
      </c>
    </row>
    <row r="56" spans="1:38" s="632" customFormat="1">
      <c r="A56" s="715" t="s">
        <v>361</v>
      </c>
      <c r="B56" s="1056" t="s">
        <v>554</v>
      </c>
      <c r="C56" s="701"/>
      <c r="D56" s="764"/>
      <c r="E56" s="706"/>
      <c r="F56" s="706"/>
      <c r="G56" s="706"/>
      <c r="H56" s="706"/>
      <c r="I56" s="776"/>
      <c r="J56" s="776"/>
      <c r="K56" s="708">
        <f>SUM(K57:K67)</f>
        <v>0</v>
      </c>
      <c r="L56" s="686"/>
      <c r="M56" s="687"/>
      <c r="N56" s="687"/>
      <c r="O56" s="687"/>
      <c r="P56" s="687"/>
      <c r="Q56" s="687"/>
      <c r="R56" s="687"/>
      <c r="S56" s="687"/>
      <c r="T56" s="687"/>
      <c r="U56" s="687"/>
      <c r="V56" s="687"/>
      <c r="W56" s="687"/>
      <c r="X56" s="687"/>
      <c r="Y56" s="687"/>
      <c r="Z56" s="687"/>
      <c r="AA56" s="687"/>
      <c r="AB56" s="687"/>
      <c r="AC56" s="687"/>
      <c r="AD56" s="687"/>
      <c r="AE56" s="687"/>
      <c r="AF56" s="687"/>
      <c r="AG56" s="687"/>
      <c r="AH56" s="687"/>
      <c r="AI56" s="687"/>
      <c r="AJ56" s="687"/>
      <c r="AK56" s="687"/>
      <c r="AL56" s="687"/>
    </row>
    <row r="57" spans="1:38" s="809" customFormat="1">
      <c r="A57" s="810" t="s">
        <v>1504</v>
      </c>
      <c r="B57" s="1052" t="s">
        <v>237</v>
      </c>
      <c r="C57" s="805"/>
      <c r="D57" s="812"/>
      <c r="E57" s="806"/>
      <c r="F57" s="806"/>
      <c r="G57" s="806"/>
      <c r="H57" s="806"/>
      <c r="I57" s="774"/>
      <c r="J57" s="941"/>
      <c r="K57" s="711"/>
      <c r="L57" s="807"/>
      <c r="M57" s="808"/>
      <c r="N57" s="808"/>
      <c r="O57" s="808"/>
      <c r="P57" s="808"/>
      <c r="Q57" s="808"/>
      <c r="R57" s="808"/>
      <c r="S57" s="808"/>
      <c r="T57" s="808"/>
      <c r="U57" s="808"/>
      <c r="V57" s="808"/>
      <c r="W57" s="808"/>
      <c r="X57" s="808"/>
      <c r="Y57" s="808"/>
      <c r="Z57" s="808"/>
      <c r="AA57" s="808"/>
      <c r="AB57" s="808"/>
      <c r="AC57" s="808"/>
      <c r="AD57" s="808"/>
      <c r="AE57" s="808"/>
      <c r="AF57" s="808"/>
      <c r="AG57" s="808"/>
      <c r="AH57" s="808"/>
      <c r="AI57" s="808"/>
      <c r="AJ57" s="808"/>
      <c r="AK57" s="808"/>
      <c r="AL57" s="808"/>
    </row>
    <row r="58" spans="1:38" s="809" customFormat="1">
      <c r="A58" s="815" t="s">
        <v>1505</v>
      </c>
      <c r="B58" s="1068" t="s">
        <v>517</v>
      </c>
      <c r="C58" s="813" t="s">
        <v>411</v>
      </c>
      <c r="D58" s="694" t="s">
        <v>236</v>
      </c>
      <c r="E58" s="703">
        <v>50</v>
      </c>
      <c r="F58" s="703">
        <v>50</v>
      </c>
      <c r="G58" s="703">
        <v>50</v>
      </c>
      <c r="H58" s="703">
        <v>50</v>
      </c>
      <c r="I58" s="774">
        <f t="shared" si="0"/>
        <v>200</v>
      </c>
      <c r="J58" s="942"/>
      <c r="K58" s="711">
        <f t="shared" si="1"/>
        <v>0</v>
      </c>
      <c r="L58" s="807"/>
      <c r="M58" s="808"/>
      <c r="N58" s="808"/>
      <c r="O58" s="808"/>
      <c r="P58" s="808"/>
      <c r="Q58" s="808"/>
      <c r="R58" s="808"/>
      <c r="S58" s="808"/>
      <c r="T58" s="808"/>
      <c r="U58" s="808"/>
      <c r="V58" s="808"/>
      <c r="W58" s="808"/>
      <c r="X58" s="808"/>
      <c r="Y58" s="808"/>
      <c r="Z58" s="808"/>
      <c r="AA58" s="808"/>
      <c r="AB58" s="808"/>
      <c r="AC58" s="808"/>
      <c r="AD58" s="808"/>
      <c r="AE58" s="808"/>
      <c r="AF58" s="808"/>
      <c r="AG58" s="808"/>
      <c r="AH58" s="808"/>
      <c r="AI58" s="808"/>
      <c r="AJ58" s="808"/>
      <c r="AK58" s="808"/>
      <c r="AL58" s="808"/>
    </row>
    <row r="59" spans="1:38" s="809" customFormat="1">
      <c r="A59" s="815" t="s">
        <v>1506</v>
      </c>
      <c r="B59" s="1068" t="str">
        <f>'1. KOLEKTORI'!B96</f>
        <v>Utovar i odvoz viška materijala</v>
      </c>
      <c r="C59" s="1250" t="str">
        <f>'1. KOLEKTORI'!C96</f>
        <v>2.4.13.</v>
      </c>
      <c r="D59" s="694" t="s">
        <v>236</v>
      </c>
      <c r="E59" s="703">
        <v>30</v>
      </c>
      <c r="F59" s="703">
        <v>30</v>
      </c>
      <c r="G59" s="703">
        <v>30</v>
      </c>
      <c r="H59" s="703">
        <v>30</v>
      </c>
      <c r="I59" s="774">
        <f t="shared" si="0"/>
        <v>120</v>
      </c>
      <c r="J59" s="942"/>
      <c r="K59" s="711">
        <f t="shared" si="1"/>
        <v>0</v>
      </c>
      <c r="L59" s="807"/>
      <c r="M59" s="808"/>
      <c r="N59" s="808"/>
      <c r="O59" s="808"/>
      <c r="P59" s="808"/>
      <c r="Q59" s="808"/>
      <c r="R59" s="808"/>
      <c r="S59" s="808"/>
      <c r="T59" s="808"/>
      <c r="U59" s="808"/>
      <c r="V59" s="808"/>
      <c r="W59" s="808"/>
      <c r="X59" s="808"/>
      <c r="Y59" s="808"/>
      <c r="Z59" s="808"/>
      <c r="AA59" s="808"/>
      <c r="AB59" s="808"/>
      <c r="AC59" s="808"/>
      <c r="AD59" s="808"/>
      <c r="AE59" s="808"/>
      <c r="AF59" s="808"/>
      <c r="AG59" s="808"/>
      <c r="AH59" s="808"/>
      <c r="AI59" s="808"/>
      <c r="AJ59" s="808"/>
      <c r="AK59" s="808"/>
      <c r="AL59" s="808"/>
    </row>
    <row r="60" spans="1:38" s="809" customFormat="1">
      <c r="A60" s="810" t="s">
        <v>1507</v>
      </c>
      <c r="B60" s="1052" t="s">
        <v>518</v>
      </c>
      <c r="C60" s="805"/>
      <c r="D60" s="740"/>
      <c r="E60" s="811"/>
      <c r="F60" s="811"/>
      <c r="G60" s="811"/>
      <c r="H60" s="811"/>
      <c r="I60" s="774"/>
      <c r="J60" s="941"/>
      <c r="K60" s="711"/>
      <c r="L60" s="807"/>
      <c r="M60" s="808"/>
      <c r="N60" s="808"/>
      <c r="O60" s="808"/>
      <c r="P60" s="808"/>
      <c r="Q60" s="808"/>
      <c r="R60" s="808"/>
      <c r="S60" s="808"/>
      <c r="T60" s="808"/>
      <c r="U60" s="808"/>
      <c r="V60" s="808"/>
      <c r="W60" s="808"/>
      <c r="X60" s="808"/>
      <c r="Y60" s="808"/>
      <c r="Z60" s="808"/>
      <c r="AA60" s="808"/>
      <c r="AB60" s="808"/>
      <c r="AC60" s="808"/>
      <c r="AD60" s="808"/>
      <c r="AE60" s="808"/>
      <c r="AF60" s="808"/>
      <c r="AG60" s="808"/>
      <c r="AH60" s="808"/>
      <c r="AI60" s="808"/>
      <c r="AJ60" s="808"/>
      <c r="AK60" s="808"/>
      <c r="AL60" s="808"/>
    </row>
    <row r="61" spans="1:38" s="818" customFormat="1">
      <c r="A61" s="815" t="s">
        <v>1508</v>
      </c>
      <c r="B61" s="1068" t="s">
        <v>519</v>
      </c>
      <c r="C61" s="1371"/>
      <c r="D61" s="694" t="s">
        <v>236</v>
      </c>
      <c r="E61" s="703">
        <v>1</v>
      </c>
      <c r="F61" s="703">
        <v>1</v>
      </c>
      <c r="G61" s="703">
        <v>1</v>
      </c>
      <c r="H61" s="703">
        <v>1</v>
      </c>
      <c r="I61" s="774">
        <f t="shared" ref="I61:I67" si="3">SUM(E61:H61)</f>
        <v>4</v>
      </c>
      <c r="J61" s="942"/>
      <c r="K61" s="711">
        <f t="shared" si="1"/>
        <v>0</v>
      </c>
      <c r="L61" s="816"/>
      <c r="M61" s="817"/>
      <c r="N61" s="817"/>
      <c r="O61" s="817"/>
      <c r="P61" s="817"/>
      <c r="Q61" s="817"/>
      <c r="R61" s="817"/>
      <c r="S61" s="817"/>
      <c r="T61" s="817"/>
      <c r="U61" s="817"/>
      <c r="V61" s="817"/>
      <c r="W61" s="817"/>
      <c r="X61" s="817"/>
      <c r="Y61" s="817"/>
      <c r="Z61" s="817"/>
      <c r="AA61" s="817"/>
      <c r="AB61" s="817"/>
      <c r="AC61" s="817"/>
      <c r="AD61" s="817"/>
      <c r="AE61" s="817"/>
      <c r="AF61" s="817"/>
      <c r="AG61" s="817"/>
      <c r="AH61" s="817"/>
      <c r="AI61" s="817"/>
      <c r="AJ61" s="817"/>
      <c r="AK61" s="817"/>
      <c r="AL61" s="817"/>
    </row>
    <row r="62" spans="1:38" s="818" customFormat="1">
      <c r="A62" s="815" t="s">
        <v>1509</v>
      </c>
      <c r="B62" s="1068" t="s">
        <v>520</v>
      </c>
      <c r="C62" s="1371"/>
      <c r="D62" s="694" t="s">
        <v>236</v>
      </c>
      <c r="E62" s="703">
        <v>1</v>
      </c>
      <c r="F62" s="703">
        <v>1</v>
      </c>
      <c r="G62" s="703">
        <v>1</v>
      </c>
      <c r="H62" s="703">
        <v>1</v>
      </c>
      <c r="I62" s="774">
        <f t="shared" si="3"/>
        <v>4</v>
      </c>
      <c r="J62" s="942"/>
      <c r="K62" s="711">
        <f t="shared" ref="K62:K67" si="4">I62*J62</f>
        <v>0</v>
      </c>
      <c r="L62" s="816"/>
      <c r="M62" s="817"/>
      <c r="N62" s="817"/>
      <c r="O62" s="817"/>
      <c r="P62" s="817"/>
      <c r="Q62" s="817"/>
      <c r="R62" s="817"/>
      <c r="S62" s="817"/>
      <c r="T62" s="817"/>
      <c r="U62" s="817"/>
      <c r="V62" s="817"/>
      <c r="W62" s="817"/>
      <c r="X62" s="817"/>
      <c r="Y62" s="817"/>
      <c r="Z62" s="817"/>
      <c r="AA62" s="817"/>
      <c r="AB62" s="817"/>
      <c r="AC62" s="817"/>
      <c r="AD62" s="817"/>
      <c r="AE62" s="817"/>
      <c r="AF62" s="817"/>
      <c r="AG62" s="817"/>
      <c r="AH62" s="817"/>
      <c r="AI62" s="817"/>
      <c r="AJ62" s="817"/>
      <c r="AK62" s="817"/>
      <c r="AL62" s="817"/>
    </row>
    <row r="63" spans="1:38" s="818" customFormat="1">
      <c r="A63" s="815" t="s">
        <v>1510</v>
      </c>
      <c r="B63" s="1068" t="s">
        <v>521</v>
      </c>
      <c r="C63" s="1371"/>
      <c r="D63" s="694" t="s">
        <v>236</v>
      </c>
      <c r="E63" s="703">
        <v>2.5</v>
      </c>
      <c r="F63" s="703">
        <v>2.5</v>
      </c>
      <c r="G63" s="703">
        <v>2.5</v>
      </c>
      <c r="H63" s="703">
        <v>2.5</v>
      </c>
      <c r="I63" s="774">
        <f t="shared" si="3"/>
        <v>10</v>
      </c>
      <c r="J63" s="942"/>
      <c r="K63" s="711">
        <f t="shared" si="4"/>
        <v>0</v>
      </c>
      <c r="L63" s="816"/>
      <c r="M63" s="817"/>
      <c r="N63" s="817"/>
      <c r="O63" s="817"/>
      <c r="P63" s="817"/>
      <c r="Q63" s="817"/>
      <c r="R63" s="817"/>
      <c r="S63" s="817"/>
      <c r="T63" s="817"/>
      <c r="U63" s="817"/>
      <c r="V63" s="817"/>
      <c r="W63" s="817"/>
      <c r="X63" s="817"/>
      <c r="Y63" s="817"/>
      <c r="Z63" s="817"/>
      <c r="AA63" s="817"/>
      <c r="AB63" s="817"/>
      <c r="AC63" s="817"/>
      <c r="AD63" s="817"/>
      <c r="AE63" s="817"/>
      <c r="AF63" s="817"/>
      <c r="AG63" s="817"/>
      <c r="AH63" s="817"/>
      <c r="AI63" s="817"/>
      <c r="AJ63" s="817"/>
      <c r="AK63" s="817"/>
      <c r="AL63" s="817"/>
    </row>
    <row r="64" spans="1:38" s="818" customFormat="1">
      <c r="A64" s="815" t="s">
        <v>1511</v>
      </c>
      <c r="B64" s="1068" t="s">
        <v>522</v>
      </c>
      <c r="C64" s="1371"/>
      <c r="D64" s="694" t="s">
        <v>236</v>
      </c>
      <c r="E64" s="703">
        <v>1.5</v>
      </c>
      <c r="F64" s="703">
        <v>1.5</v>
      </c>
      <c r="G64" s="703">
        <v>1.5</v>
      </c>
      <c r="H64" s="703">
        <v>1.5</v>
      </c>
      <c r="I64" s="774">
        <f t="shared" si="3"/>
        <v>6</v>
      </c>
      <c r="J64" s="942"/>
      <c r="K64" s="711">
        <f t="shared" si="4"/>
        <v>0</v>
      </c>
      <c r="L64" s="816"/>
      <c r="M64" s="817"/>
      <c r="N64" s="817"/>
      <c r="O64" s="817"/>
      <c r="P64" s="817"/>
      <c r="Q64" s="817"/>
      <c r="R64" s="817"/>
      <c r="S64" s="817"/>
      <c r="T64" s="817"/>
      <c r="U64" s="817"/>
      <c r="V64" s="817"/>
      <c r="W64" s="817"/>
      <c r="X64" s="817"/>
      <c r="Y64" s="817"/>
      <c r="Z64" s="817"/>
      <c r="AA64" s="817"/>
      <c r="AB64" s="817"/>
      <c r="AC64" s="817"/>
      <c r="AD64" s="817"/>
      <c r="AE64" s="817"/>
      <c r="AF64" s="817"/>
      <c r="AG64" s="817"/>
      <c r="AH64" s="817"/>
      <c r="AI64" s="817"/>
      <c r="AJ64" s="817"/>
      <c r="AK64" s="817"/>
      <c r="AL64" s="817"/>
    </row>
    <row r="65" spans="1:38" s="818" customFormat="1" ht="28.5">
      <c r="A65" s="815" t="s">
        <v>1512</v>
      </c>
      <c r="B65" s="1077" t="s">
        <v>530</v>
      </c>
      <c r="C65" s="813" t="s">
        <v>497</v>
      </c>
      <c r="D65" s="694" t="s">
        <v>201</v>
      </c>
      <c r="E65" s="944">
        <v>600</v>
      </c>
      <c r="F65" s="944">
        <v>600</v>
      </c>
      <c r="G65" s="944">
        <v>600</v>
      </c>
      <c r="H65" s="944">
        <v>600</v>
      </c>
      <c r="I65" s="774">
        <f t="shared" si="3"/>
        <v>2400</v>
      </c>
      <c r="J65" s="942"/>
      <c r="K65" s="711">
        <f t="shared" si="4"/>
        <v>0</v>
      </c>
      <c r="L65" s="816"/>
      <c r="M65" s="817"/>
      <c r="N65" s="817"/>
      <c r="O65" s="817"/>
      <c r="P65" s="817"/>
      <c r="Q65" s="817"/>
      <c r="R65" s="817"/>
      <c r="S65" s="817"/>
      <c r="T65" s="817"/>
      <c r="U65" s="817"/>
      <c r="V65" s="817"/>
      <c r="W65" s="817"/>
      <c r="X65" s="817"/>
      <c r="Y65" s="817"/>
      <c r="Z65" s="817"/>
      <c r="AA65" s="817"/>
      <c r="AB65" s="817"/>
      <c r="AC65" s="817"/>
      <c r="AD65" s="817"/>
      <c r="AE65" s="817"/>
      <c r="AF65" s="817"/>
      <c r="AG65" s="817"/>
      <c r="AH65" s="817"/>
      <c r="AI65" s="817"/>
      <c r="AJ65" s="817"/>
      <c r="AK65" s="817"/>
      <c r="AL65" s="817"/>
    </row>
    <row r="66" spans="1:38" s="809" customFormat="1">
      <c r="A66" s="810" t="s">
        <v>1513</v>
      </c>
      <c r="B66" s="1078" t="s">
        <v>523</v>
      </c>
      <c r="C66" s="805" t="s">
        <v>420</v>
      </c>
      <c r="D66" s="740" t="s">
        <v>234</v>
      </c>
      <c r="E66" s="820">
        <v>60</v>
      </c>
      <c r="F66" s="820">
        <v>60</v>
      </c>
      <c r="G66" s="820">
        <v>60</v>
      </c>
      <c r="H66" s="820">
        <v>60</v>
      </c>
      <c r="I66" s="774">
        <f t="shared" si="3"/>
        <v>240</v>
      </c>
      <c r="J66" s="942"/>
      <c r="K66" s="711">
        <f t="shared" si="4"/>
        <v>0</v>
      </c>
      <c r="L66" s="807"/>
      <c r="M66" s="808"/>
      <c r="N66" s="808"/>
      <c r="O66" s="808"/>
      <c r="P66" s="808"/>
      <c r="Q66" s="808"/>
      <c r="R66" s="808"/>
      <c r="S66" s="808"/>
      <c r="T66" s="808"/>
      <c r="U66" s="808"/>
      <c r="V66" s="808"/>
      <c r="W66" s="808"/>
      <c r="X66" s="808"/>
      <c r="Y66" s="808"/>
      <c r="Z66" s="808"/>
      <c r="AA66" s="808"/>
      <c r="AB66" s="808"/>
      <c r="AC66" s="808"/>
      <c r="AD66" s="808"/>
      <c r="AE66" s="808"/>
      <c r="AF66" s="808"/>
      <c r="AG66" s="808"/>
      <c r="AH66" s="808"/>
      <c r="AI66" s="808"/>
      <c r="AJ66" s="808"/>
      <c r="AK66" s="808"/>
      <c r="AL66" s="808"/>
    </row>
    <row r="67" spans="1:38" s="809" customFormat="1">
      <c r="A67" s="810" t="s">
        <v>1514</v>
      </c>
      <c r="B67" s="1052" t="s">
        <v>524</v>
      </c>
      <c r="C67" s="805" t="s">
        <v>420</v>
      </c>
      <c r="D67" s="740" t="s">
        <v>236</v>
      </c>
      <c r="E67" s="820">
        <v>12</v>
      </c>
      <c r="F67" s="820">
        <v>12</v>
      </c>
      <c r="G67" s="820">
        <v>12</v>
      </c>
      <c r="H67" s="820">
        <v>12</v>
      </c>
      <c r="I67" s="774">
        <f t="shared" si="3"/>
        <v>48</v>
      </c>
      <c r="J67" s="942"/>
      <c r="K67" s="711">
        <f t="shared" si="4"/>
        <v>0</v>
      </c>
      <c r="L67" s="807"/>
      <c r="M67" s="808"/>
      <c r="N67" s="808"/>
      <c r="O67" s="808"/>
      <c r="P67" s="808"/>
      <c r="Q67" s="808"/>
      <c r="R67" s="808"/>
      <c r="S67" s="808"/>
      <c r="T67" s="808"/>
      <c r="U67" s="808"/>
      <c r="V67" s="808"/>
      <c r="W67" s="808"/>
      <c r="X67" s="808"/>
      <c r="Y67" s="808"/>
      <c r="Z67" s="808"/>
      <c r="AA67" s="808"/>
      <c r="AB67" s="808"/>
      <c r="AC67" s="808"/>
      <c r="AD67" s="808"/>
      <c r="AE67" s="808"/>
      <c r="AF67" s="808"/>
      <c r="AG67" s="808"/>
      <c r="AH67" s="808"/>
      <c r="AI67" s="808"/>
      <c r="AJ67" s="808"/>
      <c r="AK67" s="808"/>
      <c r="AL67" s="808"/>
    </row>
    <row r="68" spans="1:38" s="632" customFormat="1">
      <c r="A68" s="715" t="s">
        <v>361</v>
      </c>
      <c r="B68" s="1056" t="s">
        <v>348</v>
      </c>
      <c r="C68" s="701"/>
      <c r="D68" s="764"/>
      <c r="E68" s="706"/>
      <c r="F68" s="706"/>
      <c r="G68" s="706"/>
      <c r="H68" s="706"/>
      <c r="I68" s="776"/>
      <c r="J68" s="776"/>
      <c r="K68" s="708">
        <f>SUM(K69:K72)</f>
        <v>0</v>
      </c>
      <c r="L68" s="686"/>
      <c r="M68" s="687"/>
      <c r="N68" s="687"/>
      <c r="O68" s="687"/>
      <c r="P68" s="687"/>
      <c r="Q68" s="687"/>
      <c r="R68" s="687"/>
      <c r="S68" s="687"/>
      <c r="T68" s="687"/>
      <c r="U68" s="687"/>
      <c r="V68" s="687"/>
      <c r="W68" s="687"/>
      <c r="X68" s="687"/>
      <c r="Y68" s="687"/>
      <c r="Z68" s="687"/>
      <c r="AA68" s="687"/>
      <c r="AB68" s="687"/>
      <c r="AC68" s="687"/>
      <c r="AD68" s="687"/>
      <c r="AE68" s="687"/>
      <c r="AF68" s="687"/>
      <c r="AG68" s="687"/>
      <c r="AH68" s="687"/>
      <c r="AI68" s="687"/>
      <c r="AJ68" s="687"/>
      <c r="AK68" s="687"/>
      <c r="AL68" s="687"/>
    </row>
    <row r="69" spans="1:38" s="1374" customFormat="1">
      <c r="A69" s="1375" t="s">
        <v>1504</v>
      </c>
      <c r="B69" s="1410" t="str">
        <f>'2. SANACIJA KOLEKTORA- CIPP'!B6</f>
        <v>Izrada projekta izvedenog stanja po svim strukovnim odrednicama</v>
      </c>
      <c r="C69" s="1371" t="str">
        <f>'2. SANACIJA KOLEKTORA- CIPP'!C6</f>
        <v>2.2.5.</v>
      </c>
      <c r="D69" s="1354" t="s">
        <v>18</v>
      </c>
      <c r="E69" s="1376">
        <v>1</v>
      </c>
      <c r="F69" s="1376">
        <v>1</v>
      </c>
      <c r="G69" s="1376">
        <v>1</v>
      </c>
      <c r="H69" s="1376">
        <v>1</v>
      </c>
      <c r="I69" s="1363">
        <f t="shared" ref="I69:I70" si="5">SUM(E69:H69)</f>
        <v>4</v>
      </c>
      <c r="J69" s="1387"/>
      <c r="K69" s="1347">
        <f t="shared" ref="K69:K70" si="6">I69*J69</f>
        <v>0</v>
      </c>
      <c r="L69" s="1372"/>
      <c r="M69" s="1373"/>
      <c r="N69" s="1373"/>
      <c r="O69" s="1373"/>
      <c r="P69" s="1373"/>
      <c r="Q69" s="1373"/>
      <c r="R69" s="1373"/>
      <c r="S69" s="1373"/>
      <c r="T69" s="1373"/>
      <c r="U69" s="1373"/>
      <c r="V69" s="1373"/>
      <c r="W69" s="1373"/>
      <c r="X69" s="1373"/>
      <c r="Y69" s="1373"/>
      <c r="Z69" s="1373"/>
      <c r="AA69" s="1373"/>
      <c r="AB69" s="1373"/>
      <c r="AC69" s="1373"/>
      <c r="AD69" s="1373"/>
      <c r="AE69" s="1373"/>
      <c r="AF69" s="1373"/>
      <c r="AG69" s="1373"/>
      <c r="AH69" s="1373"/>
      <c r="AI69" s="1373"/>
      <c r="AJ69" s="1373"/>
      <c r="AK69" s="1373"/>
      <c r="AL69" s="1373"/>
    </row>
    <row r="70" spans="1:38" s="1374" customFormat="1">
      <c r="A70" s="1375" t="s">
        <v>1507</v>
      </c>
      <c r="B70" s="1410" t="s">
        <v>671</v>
      </c>
      <c r="C70" s="1371" t="str">
        <f>'1. KOLEKTORI'!C12</f>
        <v>2.2.6.</v>
      </c>
      <c r="D70" s="1354" t="s">
        <v>18</v>
      </c>
      <c r="E70" s="1376">
        <v>1</v>
      </c>
      <c r="F70" s="1376">
        <v>1</v>
      </c>
      <c r="G70" s="1376">
        <v>1</v>
      </c>
      <c r="H70" s="1376">
        <v>1</v>
      </c>
      <c r="I70" s="1363">
        <f t="shared" si="5"/>
        <v>4</v>
      </c>
      <c r="J70" s="1387"/>
      <c r="K70" s="1347">
        <f t="shared" si="6"/>
        <v>0</v>
      </c>
      <c r="L70" s="1372"/>
      <c r="M70" s="1373"/>
      <c r="N70" s="1373"/>
      <c r="O70" s="1373"/>
      <c r="P70" s="1373"/>
      <c r="Q70" s="1373"/>
      <c r="R70" s="1373"/>
      <c r="S70" s="1373"/>
      <c r="T70" s="1373"/>
      <c r="U70" s="1373"/>
      <c r="V70" s="1373"/>
      <c r="W70" s="1373"/>
      <c r="X70" s="1373"/>
      <c r="Y70" s="1373"/>
      <c r="Z70" s="1373"/>
      <c r="AA70" s="1373"/>
      <c r="AB70" s="1373"/>
      <c r="AC70" s="1373"/>
      <c r="AD70" s="1373"/>
      <c r="AE70" s="1373"/>
      <c r="AF70" s="1373"/>
      <c r="AG70" s="1373"/>
      <c r="AH70" s="1373"/>
      <c r="AI70" s="1373"/>
      <c r="AJ70" s="1373"/>
      <c r="AK70" s="1373"/>
      <c r="AL70" s="1373"/>
    </row>
    <row r="71" spans="1:38" s="1374" customFormat="1">
      <c r="A71" s="1375" t="s">
        <v>1513</v>
      </c>
      <c r="B71" s="1410" t="s">
        <v>227</v>
      </c>
      <c r="C71" s="1371" t="str">
        <f>'1. KOLEKTORI'!C8</f>
        <v>2.2.2.</v>
      </c>
      <c r="D71" s="1354" t="s">
        <v>18</v>
      </c>
      <c r="E71" s="1376">
        <v>1</v>
      </c>
      <c r="F71" s="1376">
        <v>1</v>
      </c>
      <c r="G71" s="1376">
        <v>1</v>
      </c>
      <c r="H71" s="1376">
        <v>1</v>
      </c>
      <c r="I71" s="1363">
        <f t="shared" ref="I71:I72" si="7">SUM(E71:H71)</f>
        <v>4</v>
      </c>
      <c r="J71" s="1387"/>
      <c r="K71" s="1347">
        <f t="shared" ref="K71:K72" si="8">I71*J71</f>
        <v>0</v>
      </c>
      <c r="L71" s="1372"/>
      <c r="M71" s="1373"/>
      <c r="N71" s="1373"/>
      <c r="O71" s="1373"/>
      <c r="P71" s="1373"/>
      <c r="Q71" s="1373"/>
      <c r="R71" s="1373"/>
      <c r="S71" s="1373"/>
      <c r="T71" s="1373"/>
      <c r="U71" s="1373"/>
      <c r="V71" s="1373"/>
      <c r="W71" s="1373"/>
      <c r="X71" s="1373"/>
      <c r="Y71" s="1373"/>
      <c r="Z71" s="1373"/>
      <c r="AA71" s="1373"/>
      <c r="AB71" s="1373"/>
      <c r="AC71" s="1373"/>
      <c r="AD71" s="1373"/>
      <c r="AE71" s="1373"/>
      <c r="AF71" s="1373"/>
      <c r="AG71" s="1373"/>
      <c r="AH71" s="1373"/>
      <c r="AI71" s="1373"/>
      <c r="AJ71" s="1373"/>
      <c r="AK71" s="1373"/>
      <c r="AL71" s="1373"/>
    </row>
    <row r="72" spans="1:38" s="1374" customFormat="1">
      <c r="A72" s="1375" t="s">
        <v>1514</v>
      </c>
      <c r="B72" s="1410" t="s">
        <v>345</v>
      </c>
      <c r="C72" s="1371" t="str">
        <f>'1. KOLEKTORI'!$C$14</f>
        <v>2.3.5.</v>
      </c>
      <c r="D72" s="1354" t="s">
        <v>18</v>
      </c>
      <c r="E72" s="1376">
        <v>1</v>
      </c>
      <c r="F72" s="1376">
        <v>1</v>
      </c>
      <c r="G72" s="1376">
        <v>1</v>
      </c>
      <c r="H72" s="1376">
        <v>1</v>
      </c>
      <c r="I72" s="1363">
        <f t="shared" si="7"/>
        <v>4</v>
      </c>
      <c r="J72" s="1387"/>
      <c r="K72" s="1347">
        <f t="shared" si="8"/>
        <v>0</v>
      </c>
      <c r="L72" s="1372"/>
      <c r="M72" s="1373"/>
      <c r="N72" s="1373"/>
      <c r="O72" s="1373"/>
      <c r="P72" s="1373"/>
      <c r="Q72" s="1373"/>
      <c r="R72" s="1373"/>
      <c r="S72" s="1373"/>
      <c r="T72" s="1373"/>
      <c r="U72" s="1373"/>
      <c r="V72" s="1373"/>
      <c r="W72" s="1373"/>
      <c r="X72" s="1373"/>
      <c r="Y72" s="1373"/>
      <c r="Z72" s="1373"/>
      <c r="AA72" s="1373"/>
      <c r="AB72" s="1373"/>
      <c r="AC72" s="1373"/>
      <c r="AD72" s="1373"/>
      <c r="AE72" s="1373"/>
      <c r="AF72" s="1373"/>
      <c r="AG72" s="1373"/>
      <c r="AH72" s="1373"/>
      <c r="AI72" s="1373"/>
      <c r="AJ72" s="1373"/>
      <c r="AK72" s="1373"/>
      <c r="AL72" s="1373"/>
    </row>
    <row r="73" spans="1:38" s="642" customFormat="1">
      <c r="A73" s="673"/>
      <c r="B73" s="685"/>
      <c r="C73" s="650"/>
      <c r="D73" s="650"/>
      <c r="E73" s="674"/>
      <c r="F73" s="674"/>
      <c r="G73" s="674"/>
      <c r="H73" s="674"/>
      <c r="K73" s="672"/>
    </row>
    <row r="74" spans="1:38" s="642" customFormat="1">
      <c r="A74" s="673"/>
      <c r="B74" s="685"/>
      <c r="C74" s="650"/>
      <c r="D74" s="650"/>
      <c r="E74" s="674"/>
      <c r="F74" s="674"/>
      <c r="G74" s="674"/>
      <c r="H74" s="674"/>
      <c r="K74" s="672"/>
    </row>
    <row r="75" spans="1:38" s="642" customFormat="1">
      <c r="A75" s="673"/>
      <c r="B75" s="685"/>
      <c r="C75" s="650"/>
      <c r="D75" s="650"/>
      <c r="E75" s="674"/>
      <c r="F75" s="674"/>
      <c r="G75" s="674"/>
      <c r="H75" s="674"/>
      <c r="K75" s="672"/>
    </row>
    <row r="76" spans="1:38" s="642" customFormat="1">
      <c r="A76" s="673"/>
      <c r="B76" s="685"/>
      <c r="C76" s="650"/>
      <c r="D76" s="650"/>
      <c r="E76" s="674"/>
      <c r="F76" s="674"/>
      <c r="G76" s="674"/>
      <c r="H76" s="674"/>
      <c r="K76" s="672"/>
    </row>
    <row r="77" spans="1:38" s="642" customFormat="1">
      <c r="A77" s="673"/>
      <c r="B77" s="685"/>
      <c r="C77" s="650"/>
      <c r="D77" s="650"/>
      <c r="E77" s="674"/>
      <c r="F77" s="674"/>
      <c r="G77" s="674"/>
      <c r="H77" s="674"/>
      <c r="K77" s="672"/>
    </row>
    <row r="78" spans="1:38" s="642" customFormat="1">
      <c r="A78" s="673"/>
      <c r="B78" s="685"/>
      <c r="C78" s="650"/>
      <c r="D78" s="650"/>
      <c r="E78" s="674"/>
      <c r="F78" s="674"/>
      <c r="G78" s="674"/>
      <c r="H78" s="674"/>
      <c r="K78" s="672"/>
    </row>
    <row r="79" spans="1:38" s="642" customFormat="1">
      <c r="A79" s="673"/>
      <c r="B79" s="685"/>
      <c r="C79" s="650"/>
      <c r="D79" s="650"/>
      <c r="E79" s="674"/>
      <c r="F79" s="674"/>
      <c r="G79" s="674"/>
      <c r="H79" s="674"/>
      <c r="K79" s="672"/>
    </row>
    <row r="80" spans="1:38" s="642" customFormat="1">
      <c r="A80" s="673"/>
      <c r="B80" s="685"/>
      <c r="C80" s="650"/>
      <c r="D80" s="650"/>
      <c r="E80" s="674"/>
      <c r="F80" s="674"/>
      <c r="G80" s="674"/>
      <c r="H80" s="674"/>
      <c r="K80" s="672"/>
    </row>
    <row r="81" spans="1:11" s="642" customFormat="1">
      <c r="A81" s="673"/>
      <c r="B81" s="685"/>
      <c r="C81" s="650"/>
      <c r="D81" s="650"/>
      <c r="E81" s="674"/>
      <c r="F81" s="674"/>
      <c r="G81" s="674"/>
      <c r="H81" s="674"/>
      <c r="K81" s="672"/>
    </row>
    <row r="82" spans="1:11" s="642" customFormat="1">
      <c r="A82" s="673"/>
      <c r="B82" s="685"/>
      <c r="C82" s="650"/>
      <c r="D82" s="650"/>
      <c r="E82" s="674"/>
      <c r="F82" s="674"/>
      <c r="G82" s="674"/>
      <c r="H82" s="674"/>
      <c r="K82" s="672"/>
    </row>
    <row r="83" spans="1:11" s="642" customFormat="1">
      <c r="A83" s="673"/>
      <c r="B83" s="685"/>
      <c r="C83" s="650"/>
      <c r="D83" s="650"/>
      <c r="E83" s="674"/>
      <c r="F83" s="674"/>
      <c r="G83" s="674"/>
      <c r="H83" s="674"/>
      <c r="K83" s="672"/>
    </row>
    <row r="84" spans="1:11" s="642" customFormat="1">
      <c r="A84" s="673"/>
      <c r="B84" s="685"/>
      <c r="C84" s="650"/>
      <c r="D84" s="650"/>
      <c r="E84" s="674"/>
      <c r="F84" s="674"/>
      <c r="G84" s="674"/>
      <c r="H84" s="674"/>
      <c r="K84" s="672"/>
    </row>
    <row r="85" spans="1:11" s="642" customFormat="1">
      <c r="A85" s="673"/>
      <c r="B85" s="685"/>
      <c r="C85" s="650"/>
      <c r="D85" s="650"/>
      <c r="E85" s="674"/>
      <c r="F85" s="674"/>
      <c r="G85" s="674"/>
      <c r="H85" s="674"/>
      <c r="K85" s="672"/>
    </row>
    <row r="86" spans="1:11" s="642" customFormat="1">
      <c r="A86" s="673"/>
      <c r="B86" s="685"/>
      <c r="C86" s="650"/>
      <c r="D86" s="650"/>
      <c r="E86" s="674"/>
      <c r="F86" s="674"/>
      <c r="G86" s="674"/>
      <c r="H86" s="674"/>
      <c r="K86" s="672"/>
    </row>
    <row r="87" spans="1:11" s="642" customFormat="1">
      <c r="A87" s="673"/>
      <c r="B87" s="685"/>
      <c r="C87" s="650"/>
      <c r="D87" s="650"/>
      <c r="E87" s="674"/>
      <c r="F87" s="674"/>
      <c r="G87" s="674"/>
      <c r="H87" s="674"/>
      <c r="K87" s="672"/>
    </row>
    <row r="88" spans="1:11" s="642" customFormat="1">
      <c r="A88" s="673"/>
      <c r="B88" s="685"/>
      <c r="C88" s="650"/>
      <c r="D88" s="650"/>
      <c r="E88" s="674"/>
      <c r="F88" s="674"/>
      <c r="G88" s="674"/>
      <c r="H88" s="674"/>
      <c r="K88" s="672"/>
    </row>
    <row r="89" spans="1:11" s="642" customFormat="1">
      <c r="A89" s="673"/>
      <c r="B89" s="685"/>
      <c r="C89" s="650"/>
      <c r="D89" s="650"/>
      <c r="E89" s="674"/>
      <c r="F89" s="674"/>
      <c r="G89" s="674"/>
      <c r="H89" s="674"/>
      <c r="K89" s="672"/>
    </row>
    <row r="90" spans="1:11" s="642" customFormat="1">
      <c r="A90" s="673"/>
      <c r="B90" s="685"/>
      <c r="C90" s="650"/>
      <c r="D90" s="650"/>
      <c r="E90" s="674"/>
      <c r="F90" s="674"/>
      <c r="G90" s="674"/>
      <c r="H90" s="674"/>
      <c r="K90" s="672"/>
    </row>
    <row r="91" spans="1:11" s="642" customFormat="1">
      <c r="A91" s="673"/>
      <c r="B91" s="685"/>
      <c r="C91" s="650"/>
      <c r="D91" s="650"/>
      <c r="E91" s="674"/>
      <c r="F91" s="674"/>
      <c r="G91" s="674"/>
      <c r="H91" s="674"/>
      <c r="K91" s="672"/>
    </row>
    <row r="92" spans="1:11" s="642" customFormat="1">
      <c r="A92" s="673"/>
      <c r="B92" s="685"/>
      <c r="C92" s="650"/>
      <c r="D92" s="650"/>
      <c r="E92" s="674"/>
      <c r="F92" s="674"/>
      <c r="G92" s="674"/>
      <c r="H92" s="674"/>
      <c r="K92" s="672"/>
    </row>
    <row r="93" spans="1:11" s="642" customFormat="1">
      <c r="A93" s="673"/>
      <c r="B93" s="685"/>
      <c r="C93" s="650"/>
      <c r="D93" s="650"/>
      <c r="E93" s="674"/>
      <c r="F93" s="674"/>
      <c r="G93" s="674"/>
      <c r="H93" s="674"/>
      <c r="K93" s="672"/>
    </row>
    <row r="94" spans="1:11" s="642" customFormat="1">
      <c r="A94" s="673"/>
      <c r="B94" s="685"/>
      <c r="C94" s="650"/>
      <c r="D94" s="650"/>
      <c r="E94" s="674"/>
      <c r="F94" s="674"/>
      <c r="G94" s="674"/>
      <c r="H94" s="674"/>
      <c r="K94" s="672"/>
    </row>
    <row r="95" spans="1:11" s="642" customFormat="1">
      <c r="A95" s="673"/>
      <c r="B95" s="685"/>
      <c r="C95" s="650"/>
      <c r="D95" s="650"/>
      <c r="E95" s="674"/>
      <c r="F95" s="674"/>
      <c r="G95" s="674"/>
      <c r="H95" s="674"/>
      <c r="K95" s="672"/>
    </row>
    <row r="96" spans="1:11" s="642" customFormat="1">
      <c r="A96" s="673"/>
      <c r="B96" s="685"/>
      <c r="C96" s="650"/>
      <c r="D96" s="650"/>
      <c r="E96" s="674"/>
      <c r="F96" s="674"/>
      <c r="G96" s="674"/>
      <c r="H96" s="674"/>
      <c r="K96" s="672"/>
    </row>
    <row r="97" spans="1:11" s="642" customFormat="1">
      <c r="A97" s="673"/>
      <c r="B97" s="685"/>
      <c r="C97" s="650"/>
      <c r="D97" s="650"/>
      <c r="E97" s="674"/>
      <c r="F97" s="674"/>
      <c r="G97" s="674"/>
      <c r="H97" s="674"/>
      <c r="K97" s="672"/>
    </row>
    <row r="98" spans="1:11" s="642" customFormat="1">
      <c r="A98" s="673"/>
      <c r="B98" s="685"/>
      <c r="C98" s="650"/>
      <c r="D98" s="650"/>
      <c r="E98" s="674"/>
      <c r="F98" s="674"/>
      <c r="G98" s="674"/>
      <c r="H98" s="674"/>
      <c r="K98" s="672"/>
    </row>
    <row r="99" spans="1:11" s="642" customFormat="1">
      <c r="A99" s="673"/>
      <c r="B99" s="685"/>
      <c r="C99" s="650"/>
      <c r="D99" s="650"/>
      <c r="E99" s="674"/>
      <c r="F99" s="674"/>
      <c r="G99" s="674"/>
      <c r="H99" s="674"/>
      <c r="K99" s="672"/>
    </row>
    <row r="100" spans="1:11" s="642" customFormat="1">
      <c r="A100" s="673"/>
      <c r="B100" s="685"/>
      <c r="C100" s="650"/>
      <c r="D100" s="650"/>
      <c r="E100" s="674"/>
      <c r="F100" s="674"/>
      <c r="G100" s="674"/>
      <c r="H100" s="674"/>
      <c r="K100" s="672"/>
    </row>
    <row r="101" spans="1:11" s="642" customFormat="1">
      <c r="A101" s="673"/>
      <c r="B101" s="685"/>
      <c r="C101" s="650"/>
      <c r="D101" s="650"/>
      <c r="E101" s="674"/>
      <c r="F101" s="674"/>
      <c r="G101" s="674"/>
      <c r="H101" s="674"/>
      <c r="K101" s="672"/>
    </row>
    <row r="102" spans="1:11" s="642" customFormat="1">
      <c r="A102" s="673"/>
      <c r="B102" s="685"/>
      <c r="C102" s="650"/>
      <c r="D102" s="650"/>
      <c r="E102" s="674"/>
      <c r="F102" s="674"/>
      <c r="G102" s="674"/>
      <c r="H102" s="674"/>
      <c r="K102" s="672"/>
    </row>
    <row r="103" spans="1:11" s="642" customFormat="1">
      <c r="A103" s="673"/>
      <c r="B103" s="685"/>
      <c r="C103" s="650"/>
      <c r="D103" s="650"/>
      <c r="E103" s="674"/>
      <c r="F103" s="674"/>
      <c r="G103" s="674"/>
      <c r="H103" s="674"/>
      <c r="K103" s="672"/>
    </row>
    <row r="104" spans="1:11" s="642" customFormat="1">
      <c r="A104" s="673"/>
      <c r="B104" s="685"/>
      <c r="C104" s="650"/>
      <c r="D104" s="650"/>
      <c r="E104" s="674"/>
      <c r="F104" s="674"/>
      <c r="G104" s="674"/>
      <c r="H104" s="674"/>
      <c r="K104" s="672"/>
    </row>
    <row r="105" spans="1:11" s="642" customFormat="1">
      <c r="A105" s="673"/>
      <c r="B105" s="685"/>
      <c r="C105" s="650"/>
      <c r="D105" s="650"/>
      <c r="E105" s="674"/>
      <c r="F105" s="674"/>
      <c r="G105" s="674"/>
      <c r="H105" s="674"/>
      <c r="K105" s="672"/>
    </row>
    <row r="106" spans="1:11" s="642" customFormat="1">
      <c r="A106" s="673"/>
      <c r="B106" s="685"/>
      <c r="C106" s="650"/>
      <c r="D106" s="650"/>
      <c r="E106" s="674"/>
      <c r="F106" s="674"/>
      <c r="G106" s="674"/>
      <c r="H106" s="674"/>
      <c r="K106" s="672"/>
    </row>
    <row r="107" spans="1:11" s="642" customFormat="1">
      <c r="A107" s="673"/>
      <c r="B107" s="685"/>
      <c r="C107" s="650"/>
      <c r="D107" s="650"/>
      <c r="E107" s="674"/>
      <c r="F107" s="674"/>
      <c r="G107" s="674"/>
      <c r="H107" s="674"/>
      <c r="K107" s="672"/>
    </row>
    <row r="108" spans="1:11" s="642" customFormat="1">
      <c r="A108" s="673"/>
      <c r="B108" s="685"/>
      <c r="C108" s="650"/>
      <c r="D108" s="650"/>
      <c r="E108" s="674"/>
      <c r="F108" s="674"/>
      <c r="G108" s="674"/>
      <c r="H108" s="674"/>
      <c r="K108" s="672"/>
    </row>
    <row r="109" spans="1:11" s="642" customFormat="1">
      <c r="A109" s="673"/>
      <c r="B109" s="685"/>
      <c r="C109" s="650"/>
      <c r="D109" s="650"/>
      <c r="E109" s="674"/>
      <c r="F109" s="674"/>
      <c r="G109" s="674"/>
      <c r="H109" s="674"/>
      <c r="K109" s="672"/>
    </row>
    <row r="110" spans="1:11" s="642" customFormat="1">
      <c r="A110" s="673"/>
      <c r="B110" s="685"/>
      <c r="C110" s="650"/>
      <c r="D110" s="650"/>
      <c r="E110" s="674"/>
      <c r="F110" s="674"/>
      <c r="G110" s="674"/>
      <c r="H110" s="674"/>
      <c r="K110" s="672"/>
    </row>
    <row r="111" spans="1:11" s="642" customFormat="1">
      <c r="A111" s="673"/>
      <c r="B111" s="685"/>
      <c r="C111" s="650"/>
      <c r="D111" s="650"/>
      <c r="E111" s="674"/>
      <c r="F111" s="674"/>
      <c r="G111" s="674"/>
      <c r="H111" s="674"/>
      <c r="K111" s="672"/>
    </row>
    <row r="112" spans="1:11" s="642" customFormat="1">
      <c r="A112" s="673"/>
      <c r="B112" s="685"/>
      <c r="C112" s="650"/>
      <c r="D112" s="650"/>
      <c r="E112" s="674"/>
      <c r="F112" s="674"/>
      <c r="G112" s="674"/>
      <c r="H112" s="674"/>
      <c r="K112" s="672"/>
    </row>
    <row r="113" spans="1:11" s="642" customFormat="1">
      <c r="A113" s="673"/>
      <c r="B113" s="685"/>
      <c r="C113" s="650"/>
      <c r="D113" s="650"/>
      <c r="E113" s="674"/>
      <c r="F113" s="674"/>
      <c r="G113" s="674"/>
      <c r="H113" s="674"/>
      <c r="K113" s="672"/>
    </row>
    <row r="114" spans="1:11" s="642" customFormat="1">
      <c r="A114" s="673"/>
      <c r="B114" s="685"/>
      <c r="C114" s="650"/>
      <c r="D114" s="650"/>
      <c r="E114" s="674"/>
      <c r="F114" s="674"/>
      <c r="G114" s="674"/>
      <c r="H114" s="674"/>
      <c r="K114" s="672"/>
    </row>
    <row r="115" spans="1:11" s="642" customFormat="1">
      <c r="A115" s="673"/>
      <c r="B115" s="685"/>
      <c r="C115" s="650"/>
      <c r="D115" s="650"/>
      <c r="E115" s="674"/>
      <c r="F115" s="674"/>
      <c r="G115" s="674"/>
      <c r="H115" s="674"/>
      <c r="K115" s="672"/>
    </row>
    <row r="116" spans="1:11" s="642" customFormat="1">
      <c r="A116" s="673"/>
      <c r="B116" s="685"/>
      <c r="C116" s="650"/>
      <c r="D116" s="650"/>
      <c r="E116" s="674"/>
      <c r="F116" s="674"/>
      <c r="G116" s="674"/>
      <c r="H116" s="674"/>
      <c r="K116" s="672"/>
    </row>
    <row r="117" spans="1:11" s="642" customFormat="1">
      <c r="A117" s="673"/>
      <c r="B117" s="685"/>
      <c r="C117" s="650"/>
      <c r="D117" s="650"/>
      <c r="E117" s="674"/>
      <c r="F117" s="674"/>
      <c r="G117" s="674"/>
      <c r="H117" s="674"/>
      <c r="K117" s="672"/>
    </row>
    <row r="118" spans="1:11" s="642" customFormat="1">
      <c r="A118" s="673"/>
      <c r="B118" s="685"/>
      <c r="C118" s="650"/>
      <c r="D118" s="650"/>
      <c r="E118" s="674"/>
      <c r="F118" s="674"/>
      <c r="G118" s="674"/>
      <c r="H118" s="674"/>
      <c r="K118" s="672"/>
    </row>
    <row r="119" spans="1:11" s="642" customFormat="1">
      <c r="A119" s="673"/>
      <c r="B119" s="685"/>
      <c r="C119" s="650"/>
      <c r="D119" s="650"/>
      <c r="E119" s="674"/>
      <c r="F119" s="674"/>
      <c r="G119" s="674"/>
      <c r="H119" s="674"/>
      <c r="K119" s="672"/>
    </row>
    <row r="120" spans="1:11" s="642" customFormat="1">
      <c r="A120" s="673"/>
      <c r="B120" s="685"/>
      <c r="C120" s="650"/>
      <c r="D120" s="650"/>
      <c r="E120" s="674"/>
      <c r="F120" s="674"/>
      <c r="G120" s="674"/>
      <c r="H120" s="674"/>
      <c r="K120" s="672"/>
    </row>
    <row r="121" spans="1:11" s="642" customFormat="1">
      <c r="A121" s="673"/>
      <c r="B121" s="685"/>
      <c r="C121" s="650"/>
      <c r="D121" s="650"/>
      <c r="E121" s="674"/>
      <c r="F121" s="674"/>
      <c r="G121" s="674"/>
      <c r="H121" s="674"/>
      <c r="K121" s="672"/>
    </row>
    <row r="122" spans="1:11" s="642" customFormat="1">
      <c r="A122" s="673"/>
      <c r="B122" s="685"/>
      <c r="C122" s="650"/>
      <c r="D122" s="650"/>
      <c r="E122" s="674"/>
      <c r="F122" s="674"/>
      <c r="G122" s="674"/>
      <c r="H122" s="674"/>
      <c r="K122" s="672"/>
    </row>
    <row r="123" spans="1:11" s="642" customFormat="1">
      <c r="A123" s="673"/>
      <c r="B123" s="685"/>
      <c r="C123" s="650"/>
      <c r="D123" s="650"/>
      <c r="E123" s="674"/>
      <c r="F123" s="674"/>
      <c r="G123" s="674"/>
      <c r="H123" s="674"/>
      <c r="K123" s="672"/>
    </row>
    <row r="124" spans="1:11" s="642" customFormat="1">
      <c r="A124" s="673"/>
      <c r="B124" s="685"/>
      <c r="C124" s="650"/>
      <c r="D124" s="650"/>
      <c r="E124" s="674"/>
      <c r="F124" s="674"/>
      <c r="G124" s="674"/>
      <c r="H124" s="674"/>
      <c r="K124" s="672"/>
    </row>
    <row r="125" spans="1:11" s="642" customFormat="1">
      <c r="A125" s="673"/>
      <c r="B125" s="685"/>
      <c r="C125" s="650"/>
      <c r="D125" s="650"/>
      <c r="E125" s="674"/>
      <c r="F125" s="674"/>
      <c r="G125" s="674"/>
      <c r="H125" s="674"/>
      <c r="K125" s="672"/>
    </row>
    <row r="126" spans="1:11" s="642" customFormat="1">
      <c r="A126" s="673"/>
      <c r="B126" s="685"/>
      <c r="C126" s="650"/>
      <c r="D126" s="650"/>
      <c r="E126" s="674"/>
      <c r="F126" s="674"/>
      <c r="G126" s="674"/>
      <c r="H126" s="674"/>
      <c r="K126" s="672"/>
    </row>
    <row r="127" spans="1:11" s="642" customFormat="1">
      <c r="A127" s="673"/>
      <c r="B127" s="685"/>
      <c r="C127" s="650"/>
      <c r="D127" s="650"/>
      <c r="E127" s="674"/>
      <c r="F127" s="674"/>
      <c r="G127" s="674"/>
      <c r="H127" s="674"/>
      <c r="K127" s="672"/>
    </row>
    <row r="128" spans="1:11" s="642" customFormat="1">
      <c r="A128" s="673"/>
      <c r="B128" s="685"/>
      <c r="C128" s="650"/>
      <c r="D128" s="650"/>
      <c r="E128" s="674"/>
      <c r="F128" s="674"/>
      <c r="G128" s="674"/>
      <c r="H128" s="674"/>
      <c r="K128" s="672"/>
    </row>
    <row r="129" spans="1:11" s="642" customFormat="1">
      <c r="A129" s="673"/>
      <c r="B129" s="685"/>
      <c r="C129" s="650"/>
      <c r="D129" s="650"/>
      <c r="E129" s="674"/>
      <c r="F129" s="674"/>
      <c r="G129" s="674"/>
      <c r="H129" s="674"/>
      <c r="K129" s="672"/>
    </row>
    <row r="130" spans="1:11" s="642" customFormat="1">
      <c r="A130" s="673"/>
      <c r="B130" s="685"/>
      <c r="C130" s="650"/>
      <c r="D130" s="650"/>
      <c r="E130" s="674"/>
      <c r="F130" s="674"/>
      <c r="G130" s="674"/>
      <c r="H130" s="674"/>
      <c r="K130" s="672"/>
    </row>
    <row r="131" spans="1:11" s="642" customFormat="1">
      <c r="A131" s="673"/>
      <c r="B131" s="685"/>
      <c r="C131" s="650"/>
      <c r="D131" s="650"/>
      <c r="E131" s="674"/>
      <c r="F131" s="674"/>
      <c r="G131" s="674"/>
      <c r="H131" s="674"/>
      <c r="K131" s="672"/>
    </row>
    <row r="132" spans="1:11" s="642" customFormat="1">
      <c r="A132" s="673"/>
      <c r="B132" s="685"/>
      <c r="C132" s="650"/>
      <c r="D132" s="650"/>
      <c r="E132" s="674"/>
      <c r="F132" s="674"/>
      <c r="G132" s="674"/>
      <c r="H132" s="674"/>
      <c r="K132" s="672"/>
    </row>
    <row r="133" spans="1:11" s="642" customFormat="1">
      <c r="A133" s="673"/>
      <c r="B133" s="685"/>
      <c r="C133" s="650"/>
      <c r="D133" s="650"/>
      <c r="E133" s="674"/>
      <c r="F133" s="674"/>
      <c r="G133" s="674"/>
      <c r="H133" s="674"/>
      <c r="K133" s="672"/>
    </row>
    <row r="134" spans="1:11" s="642" customFormat="1">
      <c r="A134" s="673"/>
      <c r="B134" s="685"/>
      <c r="C134" s="650"/>
      <c r="D134" s="650"/>
      <c r="E134" s="674"/>
      <c r="F134" s="674"/>
      <c r="G134" s="674"/>
      <c r="H134" s="674"/>
      <c r="K134" s="672"/>
    </row>
    <row r="135" spans="1:11" s="642" customFormat="1">
      <c r="A135" s="673"/>
      <c r="B135" s="685"/>
      <c r="C135" s="650"/>
      <c r="D135" s="650"/>
      <c r="E135" s="674"/>
      <c r="F135" s="674"/>
      <c r="G135" s="674"/>
      <c r="H135" s="674"/>
      <c r="K135" s="672"/>
    </row>
    <row r="136" spans="1:11" s="642" customFormat="1">
      <c r="A136" s="673"/>
      <c r="B136" s="685"/>
      <c r="C136" s="650"/>
      <c r="D136" s="650"/>
      <c r="E136" s="674"/>
      <c r="F136" s="674"/>
      <c r="G136" s="674"/>
      <c r="H136" s="674"/>
      <c r="K136" s="672"/>
    </row>
    <row r="137" spans="1:11" s="642" customFormat="1">
      <c r="A137" s="673"/>
      <c r="B137" s="685"/>
      <c r="C137" s="650"/>
      <c r="D137" s="650"/>
      <c r="E137" s="674"/>
      <c r="F137" s="674"/>
      <c r="G137" s="674"/>
      <c r="H137" s="674"/>
      <c r="K137" s="672"/>
    </row>
    <row r="138" spans="1:11" s="642" customFormat="1">
      <c r="A138" s="673"/>
      <c r="B138" s="685"/>
      <c r="C138" s="650"/>
      <c r="D138" s="650"/>
      <c r="E138" s="674"/>
      <c r="F138" s="674"/>
      <c r="G138" s="674"/>
      <c r="H138" s="674"/>
      <c r="K138" s="672"/>
    </row>
    <row r="139" spans="1:11" s="642" customFormat="1">
      <c r="A139" s="673"/>
      <c r="B139" s="685"/>
      <c r="C139" s="650"/>
      <c r="D139" s="650"/>
      <c r="E139" s="674"/>
      <c r="F139" s="674"/>
      <c r="G139" s="674"/>
      <c r="H139" s="674"/>
      <c r="K139" s="672"/>
    </row>
    <row r="140" spans="1:11" s="642" customFormat="1">
      <c r="A140" s="673"/>
      <c r="B140" s="685"/>
      <c r="C140" s="650"/>
      <c r="D140" s="650"/>
      <c r="E140" s="674"/>
      <c r="F140" s="674"/>
      <c r="G140" s="674"/>
      <c r="H140" s="674"/>
      <c r="K140" s="672"/>
    </row>
    <row r="141" spans="1:11" s="642" customFormat="1">
      <c r="A141" s="673"/>
      <c r="B141" s="685"/>
      <c r="C141" s="650"/>
      <c r="D141" s="650"/>
      <c r="E141" s="674"/>
      <c r="F141" s="674"/>
      <c r="G141" s="674"/>
      <c r="H141" s="674"/>
      <c r="K141" s="672"/>
    </row>
    <row r="142" spans="1:11" s="642" customFormat="1">
      <c r="A142" s="673"/>
      <c r="B142" s="685"/>
      <c r="C142" s="650"/>
      <c r="D142" s="650"/>
      <c r="E142" s="674"/>
      <c r="F142" s="674"/>
      <c r="G142" s="674"/>
      <c r="H142" s="674"/>
      <c r="K142" s="672"/>
    </row>
    <row r="143" spans="1:11" s="642" customFormat="1">
      <c r="A143" s="673"/>
      <c r="B143" s="685"/>
      <c r="C143" s="650"/>
      <c r="D143" s="650"/>
      <c r="E143" s="674"/>
      <c r="F143" s="674"/>
      <c r="G143" s="674"/>
      <c r="H143" s="674"/>
      <c r="K143" s="672"/>
    </row>
    <row r="144" spans="1:11" s="642" customFormat="1">
      <c r="A144" s="673"/>
      <c r="B144" s="685"/>
      <c r="C144" s="650"/>
      <c r="D144" s="650"/>
      <c r="E144" s="674"/>
      <c r="F144" s="674"/>
      <c r="G144" s="674"/>
      <c r="H144" s="674"/>
      <c r="K144" s="672"/>
    </row>
    <row r="145" spans="1:11" s="642" customFormat="1">
      <c r="A145" s="673"/>
      <c r="B145" s="685"/>
      <c r="C145" s="650"/>
      <c r="D145" s="650"/>
      <c r="E145" s="674"/>
      <c r="F145" s="674"/>
      <c r="G145" s="674"/>
      <c r="H145" s="674"/>
      <c r="K145" s="672"/>
    </row>
    <row r="146" spans="1:11" s="642" customFormat="1">
      <c r="A146" s="673"/>
      <c r="B146" s="685"/>
      <c r="C146" s="650"/>
      <c r="D146" s="650"/>
      <c r="E146" s="674"/>
      <c r="F146" s="674"/>
      <c r="G146" s="674"/>
      <c r="H146" s="674"/>
      <c r="K146" s="672"/>
    </row>
    <row r="147" spans="1:11" s="642" customFormat="1">
      <c r="A147" s="673"/>
      <c r="B147" s="685"/>
      <c r="C147" s="650"/>
      <c r="D147" s="650"/>
      <c r="E147" s="674"/>
      <c r="F147" s="674"/>
      <c r="G147" s="674"/>
      <c r="H147" s="674"/>
      <c r="K147" s="672"/>
    </row>
    <row r="148" spans="1:11" s="642" customFormat="1">
      <c r="A148" s="673"/>
      <c r="B148" s="685"/>
      <c r="C148" s="650"/>
      <c r="D148" s="650"/>
      <c r="E148" s="674"/>
      <c r="F148" s="674"/>
      <c r="G148" s="674"/>
      <c r="H148" s="674"/>
      <c r="K148" s="672"/>
    </row>
    <row r="149" spans="1:11" s="642" customFormat="1">
      <c r="A149" s="673"/>
      <c r="B149" s="685"/>
      <c r="C149" s="650"/>
      <c r="D149" s="650"/>
      <c r="E149" s="674"/>
      <c r="F149" s="674"/>
      <c r="G149" s="674"/>
      <c r="H149" s="674"/>
      <c r="K149" s="672"/>
    </row>
    <row r="150" spans="1:11" s="642" customFormat="1">
      <c r="A150" s="673"/>
      <c r="B150" s="685"/>
      <c r="C150" s="650"/>
      <c r="D150" s="650"/>
      <c r="E150" s="674"/>
      <c r="F150" s="674"/>
      <c r="G150" s="674"/>
      <c r="H150" s="674"/>
      <c r="K150" s="672"/>
    </row>
    <row r="151" spans="1:11" s="642" customFormat="1">
      <c r="A151" s="673"/>
      <c r="B151" s="685"/>
      <c r="C151" s="650"/>
      <c r="D151" s="650"/>
      <c r="E151" s="674"/>
      <c r="F151" s="674"/>
      <c r="G151" s="674"/>
      <c r="H151" s="674"/>
      <c r="K151" s="672"/>
    </row>
    <row r="152" spans="1:11" s="642" customFormat="1">
      <c r="A152" s="673"/>
      <c r="B152" s="685"/>
      <c r="C152" s="650"/>
      <c r="D152" s="650"/>
      <c r="E152" s="674"/>
      <c r="F152" s="674"/>
      <c r="G152" s="674"/>
      <c r="H152" s="674"/>
      <c r="K152" s="672"/>
    </row>
    <row r="153" spans="1:11" s="642" customFormat="1">
      <c r="A153" s="673"/>
      <c r="B153" s="685"/>
      <c r="C153" s="650"/>
      <c r="D153" s="650"/>
      <c r="E153" s="674"/>
      <c r="F153" s="674"/>
      <c r="G153" s="674"/>
      <c r="H153" s="674"/>
      <c r="K153" s="672"/>
    </row>
    <row r="154" spans="1:11" s="642" customFormat="1">
      <c r="A154" s="673"/>
      <c r="B154" s="685"/>
      <c r="C154" s="650"/>
      <c r="D154" s="650"/>
      <c r="E154" s="674"/>
      <c r="F154" s="674"/>
      <c r="G154" s="674"/>
      <c r="H154" s="674"/>
      <c r="K154" s="672"/>
    </row>
    <row r="155" spans="1:11" s="642" customFormat="1">
      <c r="A155" s="673"/>
      <c r="B155" s="685"/>
      <c r="C155" s="650"/>
      <c r="D155" s="650"/>
      <c r="E155" s="674"/>
      <c r="F155" s="674"/>
      <c r="G155" s="674"/>
      <c r="H155" s="674"/>
      <c r="K155" s="672"/>
    </row>
    <row r="156" spans="1:11" s="642" customFormat="1">
      <c r="A156" s="673"/>
      <c r="B156" s="685"/>
      <c r="C156" s="650"/>
      <c r="D156" s="650"/>
      <c r="E156" s="674"/>
      <c r="F156" s="674"/>
      <c r="G156" s="674"/>
      <c r="H156" s="674"/>
      <c r="K156" s="672"/>
    </row>
    <row r="157" spans="1:11" s="642" customFormat="1">
      <c r="A157" s="673"/>
      <c r="B157" s="685"/>
      <c r="C157" s="650"/>
      <c r="D157" s="650"/>
      <c r="E157" s="674"/>
      <c r="F157" s="674"/>
      <c r="G157" s="674"/>
      <c r="H157" s="674"/>
      <c r="K157" s="672"/>
    </row>
    <row r="158" spans="1:11" s="642" customFormat="1">
      <c r="A158" s="673"/>
      <c r="B158" s="685"/>
      <c r="C158" s="650"/>
      <c r="D158" s="650"/>
      <c r="E158" s="674"/>
      <c r="F158" s="674"/>
      <c r="G158" s="674"/>
      <c r="H158" s="674"/>
      <c r="K158" s="672"/>
    </row>
    <row r="159" spans="1:11" s="642" customFormat="1">
      <c r="A159" s="673"/>
      <c r="B159" s="685"/>
      <c r="C159" s="650"/>
      <c r="D159" s="650"/>
      <c r="E159" s="674"/>
      <c r="F159" s="674"/>
      <c r="G159" s="674"/>
      <c r="H159" s="674"/>
      <c r="K159" s="672"/>
    </row>
    <row r="160" spans="1:11" s="642" customFormat="1">
      <c r="A160" s="673"/>
      <c r="B160" s="685"/>
      <c r="C160" s="650"/>
      <c r="D160" s="650"/>
      <c r="E160" s="674"/>
      <c r="F160" s="674"/>
      <c r="G160" s="674"/>
      <c r="H160" s="674"/>
      <c r="K160" s="672"/>
    </row>
    <row r="161" spans="1:11" s="642" customFormat="1">
      <c r="A161" s="673"/>
      <c r="B161" s="685"/>
      <c r="C161" s="650"/>
      <c r="D161" s="650"/>
      <c r="E161" s="674"/>
      <c r="F161" s="674"/>
      <c r="G161" s="674"/>
      <c r="H161" s="674"/>
      <c r="K161" s="672"/>
    </row>
    <row r="162" spans="1:11" s="642" customFormat="1">
      <c r="A162" s="673"/>
      <c r="B162" s="685"/>
      <c r="C162" s="650"/>
      <c r="D162" s="650"/>
      <c r="E162" s="674"/>
      <c r="F162" s="674"/>
      <c r="G162" s="674"/>
      <c r="H162" s="674"/>
      <c r="K162" s="672"/>
    </row>
    <row r="163" spans="1:11" s="642" customFormat="1">
      <c r="A163" s="673"/>
      <c r="B163" s="685"/>
      <c r="C163" s="650"/>
      <c r="D163" s="650"/>
      <c r="E163" s="674"/>
      <c r="F163" s="674"/>
      <c r="G163" s="674"/>
      <c r="H163" s="674"/>
      <c r="K163" s="672"/>
    </row>
    <row r="164" spans="1:11" s="642" customFormat="1">
      <c r="A164" s="673"/>
      <c r="B164" s="685"/>
      <c r="C164" s="650"/>
      <c r="D164" s="650"/>
      <c r="E164" s="674"/>
      <c r="F164" s="674"/>
      <c r="G164" s="674"/>
      <c r="H164" s="674"/>
      <c r="K164" s="672"/>
    </row>
    <row r="165" spans="1:11" s="642" customFormat="1">
      <c r="A165" s="673"/>
      <c r="B165" s="685"/>
      <c r="C165" s="650"/>
      <c r="D165" s="650"/>
      <c r="E165" s="674"/>
      <c r="F165" s="674"/>
      <c r="G165" s="674"/>
      <c r="H165" s="674"/>
      <c r="K165" s="672"/>
    </row>
    <row r="166" spans="1:11" s="642" customFormat="1">
      <c r="A166" s="673"/>
      <c r="B166" s="685"/>
      <c r="C166" s="650"/>
      <c r="D166" s="650"/>
      <c r="E166" s="674"/>
      <c r="F166" s="674"/>
      <c r="G166" s="674"/>
      <c r="H166" s="674"/>
      <c r="K166" s="672"/>
    </row>
    <row r="167" spans="1:11" s="642" customFormat="1">
      <c r="A167" s="673"/>
      <c r="B167" s="685"/>
      <c r="C167" s="650"/>
      <c r="D167" s="650"/>
      <c r="E167" s="674"/>
      <c r="F167" s="674"/>
      <c r="G167" s="674"/>
      <c r="H167" s="674"/>
      <c r="K167" s="672"/>
    </row>
    <row r="168" spans="1:11" s="642" customFormat="1">
      <c r="A168" s="673"/>
      <c r="B168" s="685"/>
      <c r="C168" s="650"/>
      <c r="D168" s="650"/>
      <c r="E168" s="674"/>
      <c r="F168" s="674"/>
      <c r="G168" s="674"/>
      <c r="H168" s="674"/>
      <c r="K168" s="672"/>
    </row>
    <row r="169" spans="1:11" s="642" customFormat="1">
      <c r="A169" s="673"/>
      <c r="B169" s="685"/>
      <c r="C169" s="650"/>
      <c r="D169" s="650"/>
      <c r="E169" s="674"/>
      <c r="F169" s="674"/>
      <c r="G169" s="674"/>
      <c r="H169" s="674"/>
      <c r="K169" s="672"/>
    </row>
    <row r="170" spans="1:11" s="642" customFormat="1">
      <c r="A170" s="673"/>
      <c r="B170" s="685"/>
      <c r="C170" s="650"/>
      <c r="D170" s="650"/>
      <c r="E170" s="674"/>
      <c r="F170" s="674"/>
      <c r="G170" s="674"/>
      <c r="H170" s="674"/>
      <c r="K170" s="672"/>
    </row>
    <row r="171" spans="1:11" s="642" customFormat="1">
      <c r="A171" s="673"/>
      <c r="B171" s="685"/>
      <c r="C171" s="650"/>
      <c r="D171" s="650"/>
      <c r="E171" s="674"/>
      <c r="F171" s="674"/>
      <c r="G171" s="674"/>
      <c r="H171" s="674"/>
      <c r="K171" s="672"/>
    </row>
    <row r="172" spans="1:11" s="642" customFormat="1">
      <c r="A172" s="673"/>
      <c r="B172" s="685"/>
      <c r="C172" s="650"/>
      <c r="D172" s="650"/>
      <c r="E172" s="674"/>
      <c r="F172" s="674"/>
      <c r="G172" s="674"/>
      <c r="H172" s="674"/>
      <c r="K172" s="672"/>
    </row>
    <row r="173" spans="1:11" s="642" customFormat="1">
      <c r="A173" s="673"/>
      <c r="B173" s="685"/>
      <c r="C173" s="650"/>
      <c r="D173" s="650"/>
      <c r="E173" s="674"/>
      <c r="F173" s="674"/>
      <c r="G173" s="674"/>
      <c r="H173" s="674"/>
      <c r="K173" s="672"/>
    </row>
    <row r="174" spans="1:11" s="642" customFormat="1">
      <c r="A174" s="673"/>
      <c r="B174" s="685"/>
      <c r="C174" s="650"/>
      <c r="D174" s="650"/>
      <c r="E174" s="674"/>
      <c r="F174" s="674"/>
      <c r="G174" s="674"/>
      <c r="H174" s="674"/>
      <c r="K174" s="672"/>
    </row>
    <row r="175" spans="1:11" s="642" customFormat="1">
      <c r="A175" s="673"/>
      <c r="B175" s="685"/>
      <c r="C175" s="650"/>
      <c r="D175" s="650"/>
      <c r="E175" s="674"/>
      <c r="F175" s="674"/>
      <c r="G175" s="674"/>
      <c r="H175" s="674"/>
      <c r="K175" s="672"/>
    </row>
    <row r="176" spans="1:11" s="642" customFormat="1">
      <c r="A176" s="673"/>
      <c r="B176" s="685"/>
      <c r="C176" s="650"/>
      <c r="D176" s="650"/>
      <c r="E176" s="674"/>
      <c r="F176" s="674"/>
      <c r="G176" s="674"/>
      <c r="H176" s="674"/>
      <c r="K176" s="672"/>
    </row>
    <row r="177" spans="1:11" s="642" customFormat="1">
      <c r="A177" s="673"/>
      <c r="B177" s="685"/>
      <c r="C177" s="650"/>
      <c r="D177" s="650"/>
      <c r="E177" s="674"/>
      <c r="F177" s="674"/>
      <c r="G177" s="674"/>
      <c r="H177" s="674"/>
      <c r="K177" s="672"/>
    </row>
    <row r="178" spans="1:11" s="642" customFormat="1">
      <c r="A178" s="673"/>
      <c r="B178" s="685"/>
      <c r="C178" s="650"/>
      <c r="D178" s="650"/>
      <c r="E178" s="674"/>
      <c r="F178" s="674"/>
      <c r="G178" s="674"/>
      <c r="H178" s="674"/>
      <c r="K178" s="672"/>
    </row>
    <row r="179" spans="1:11" s="642" customFormat="1">
      <c r="A179" s="673"/>
      <c r="B179" s="685"/>
      <c r="C179" s="650"/>
      <c r="D179" s="650"/>
      <c r="E179" s="674"/>
      <c r="F179" s="674"/>
      <c r="G179" s="674"/>
      <c r="H179" s="674"/>
      <c r="K179" s="672"/>
    </row>
    <row r="180" spans="1:11" s="642" customFormat="1">
      <c r="A180" s="673"/>
      <c r="B180" s="685"/>
      <c r="C180" s="650"/>
      <c r="D180" s="650"/>
      <c r="E180" s="674"/>
      <c r="F180" s="674"/>
      <c r="G180" s="674"/>
      <c r="H180" s="674"/>
      <c r="K180" s="672"/>
    </row>
    <row r="181" spans="1:11" s="642" customFormat="1">
      <c r="A181" s="673"/>
      <c r="B181" s="685"/>
      <c r="C181" s="650"/>
      <c r="D181" s="650"/>
      <c r="E181" s="674"/>
      <c r="F181" s="674"/>
      <c r="G181" s="674"/>
      <c r="H181" s="674"/>
      <c r="K181" s="672"/>
    </row>
    <row r="182" spans="1:11" s="642" customFormat="1">
      <c r="A182" s="673"/>
      <c r="B182" s="685"/>
      <c r="C182" s="650"/>
      <c r="D182" s="650"/>
      <c r="E182" s="674"/>
      <c r="F182" s="674"/>
      <c r="G182" s="674"/>
      <c r="H182" s="674"/>
      <c r="K182" s="672"/>
    </row>
    <row r="183" spans="1:11" s="642" customFormat="1">
      <c r="A183" s="673"/>
      <c r="B183" s="685"/>
      <c r="C183" s="650"/>
      <c r="D183" s="650"/>
      <c r="E183" s="674"/>
      <c r="F183" s="674"/>
      <c r="G183" s="674"/>
      <c r="H183" s="674"/>
      <c r="K183" s="672"/>
    </row>
    <row r="184" spans="1:11" s="642" customFormat="1">
      <c r="A184" s="673"/>
      <c r="B184" s="685"/>
      <c r="C184" s="650"/>
      <c r="D184" s="650"/>
      <c r="E184" s="674"/>
      <c r="F184" s="674"/>
      <c r="G184" s="674"/>
      <c r="H184" s="674"/>
      <c r="K184" s="672"/>
    </row>
    <row r="185" spans="1:11" s="642" customFormat="1">
      <c r="A185" s="673"/>
      <c r="B185" s="685"/>
      <c r="C185" s="650"/>
      <c r="D185" s="650"/>
      <c r="E185" s="674"/>
      <c r="F185" s="674"/>
      <c r="G185" s="674"/>
      <c r="H185" s="674"/>
      <c r="K185" s="672"/>
    </row>
    <row r="186" spans="1:11" s="642" customFormat="1">
      <c r="A186" s="673"/>
      <c r="B186" s="685"/>
      <c r="C186" s="650"/>
      <c r="D186" s="650"/>
      <c r="E186" s="674"/>
      <c r="F186" s="674"/>
      <c r="G186" s="674"/>
      <c r="H186" s="674"/>
      <c r="K186" s="672"/>
    </row>
    <row r="187" spans="1:11" s="642" customFormat="1">
      <c r="A187" s="673"/>
      <c r="B187" s="685"/>
      <c r="C187" s="650"/>
      <c r="D187" s="650"/>
      <c r="E187" s="674"/>
      <c r="F187" s="674"/>
      <c r="G187" s="674"/>
      <c r="H187" s="674"/>
      <c r="K187" s="672"/>
    </row>
    <row r="188" spans="1:11" s="642" customFormat="1">
      <c r="A188" s="673"/>
      <c r="B188" s="685"/>
      <c r="C188" s="650"/>
      <c r="D188" s="650"/>
      <c r="E188" s="674"/>
      <c r="F188" s="674"/>
      <c r="G188" s="674"/>
      <c r="H188" s="674"/>
      <c r="K188" s="672"/>
    </row>
    <row r="189" spans="1:11" s="642" customFormat="1">
      <c r="A189" s="673"/>
      <c r="B189" s="685"/>
      <c r="C189" s="650"/>
      <c r="D189" s="650"/>
      <c r="E189" s="674"/>
      <c r="F189" s="674"/>
      <c r="G189" s="674"/>
      <c r="H189" s="674"/>
      <c r="K189" s="672"/>
    </row>
    <row r="190" spans="1:11" s="642" customFormat="1">
      <c r="A190" s="673"/>
      <c r="B190" s="685"/>
      <c r="C190" s="650"/>
      <c r="D190" s="650"/>
      <c r="E190" s="674"/>
      <c r="F190" s="674"/>
      <c r="G190" s="674"/>
      <c r="H190" s="674"/>
      <c r="K190" s="672"/>
    </row>
    <row r="191" spans="1:11" s="642" customFormat="1">
      <c r="A191" s="673"/>
      <c r="B191" s="685"/>
      <c r="C191" s="650"/>
      <c r="D191" s="650"/>
      <c r="E191" s="674"/>
      <c r="F191" s="674"/>
      <c r="G191" s="674"/>
      <c r="H191" s="674"/>
      <c r="K191" s="672"/>
    </row>
    <row r="192" spans="1:11" s="642" customFormat="1">
      <c r="A192" s="673"/>
      <c r="B192" s="685"/>
      <c r="C192" s="650"/>
      <c r="D192" s="650"/>
      <c r="E192" s="674"/>
      <c r="F192" s="674"/>
      <c r="G192" s="674"/>
      <c r="H192" s="674"/>
      <c r="K192" s="672"/>
    </row>
    <row r="193" spans="1:11" s="642" customFormat="1">
      <c r="A193" s="673"/>
      <c r="B193" s="685"/>
      <c r="C193" s="650"/>
      <c r="D193" s="650"/>
      <c r="E193" s="674"/>
      <c r="F193" s="674"/>
      <c r="G193" s="674"/>
      <c r="H193" s="674"/>
      <c r="K193" s="672"/>
    </row>
    <row r="194" spans="1:11" s="642" customFormat="1">
      <c r="A194" s="673"/>
      <c r="B194" s="685"/>
      <c r="C194" s="650"/>
      <c r="D194" s="650"/>
      <c r="E194" s="674"/>
      <c r="F194" s="674"/>
      <c r="G194" s="674"/>
      <c r="H194" s="674"/>
      <c r="K194" s="672"/>
    </row>
    <row r="195" spans="1:11" s="642" customFormat="1">
      <c r="A195" s="673"/>
      <c r="B195" s="685"/>
      <c r="C195" s="650"/>
      <c r="D195" s="650"/>
      <c r="E195" s="674"/>
      <c r="F195" s="674"/>
      <c r="G195" s="674"/>
      <c r="H195" s="674"/>
      <c r="K195" s="672"/>
    </row>
    <row r="196" spans="1:11" s="642" customFormat="1">
      <c r="A196" s="673"/>
      <c r="B196" s="685"/>
      <c r="C196" s="650"/>
      <c r="D196" s="650"/>
      <c r="E196" s="674"/>
      <c r="F196" s="674"/>
      <c r="G196" s="674"/>
      <c r="H196" s="674"/>
      <c r="K196" s="672"/>
    </row>
    <row r="197" spans="1:11" s="642" customFormat="1">
      <c r="A197" s="673"/>
      <c r="B197" s="685"/>
      <c r="C197" s="650"/>
      <c r="D197" s="650"/>
      <c r="E197" s="674"/>
      <c r="F197" s="674"/>
      <c r="G197" s="674"/>
      <c r="H197" s="674"/>
      <c r="K197" s="672"/>
    </row>
    <row r="198" spans="1:11" s="642" customFormat="1">
      <c r="A198" s="673"/>
      <c r="B198" s="685"/>
      <c r="C198" s="650"/>
      <c r="D198" s="650"/>
      <c r="E198" s="674"/>
      <c r="F198" s="674"/>
      <c r="G198" s="674"/>
      <c r="H198" s="674"/>
      <c r="K198" s="672"/>
    </row>
    <row r="199" spans="1:11" s="642" customFormat="1">
      <c r="A199" s="673"/>
      <c r="B199" s="685"/>
      <c r="C199" s="650"/>
      <c r="D199" s="650"/>
      <c r="E199" s="674"/>
      <c r="F199" s="674"/>
      <c r="G199" s="674"/>
      <c r="H199" s="674"/>
      <c r="K199" s="672"/>
    </row>
    <row r="200" spans="1:11" s="642" customFormat="1">
      <c r="A200" s="673"/>
      <c r="B200" s="685"/>
      <c r="C200" s="650"/>
      <c r="D200" s="650"/>
      <c r="E200" s="674"/>
      <c r="F200" s="674"/>
      <c r="G200" s="674"/>
      <c r="H200" s="674"/>
      <c r="K200" s="672"/>
    </row>
    <row r="201" spans="1:11" s="642" customFormat="1">
      <c r="A201" s="673"/>
      <c r="B201" s="685"/>
      <c r="C201" s="650"/>
      <c r="D201" s="650"/>
      <c r="E201" s="674"/>
      <c r="F201" s="674"/>
      <c r="G201" s="674"/>
      <c r="H201" s="674"/>
      <c r="K201" s="672"/>
    </row>
    <row r="202" spans="1:11" s="642" customFormat="1">
      <c r="A202" s="673"/>
      <c r="B202" s="685"/>
      <c r="C202" s="650"/>
      <c r="D202" s="650"/>
      <c r="E202" s="674"/>
      <c r="F202" s="674"/>
      <c r="G202" s="674"/>
      <c r="H202" s="674"/>
      <c r="K202" s="672"/>
    </row>
    <row r="203" spans="1:11" s="642" customFormat="1">
      <c r="A203" s="673"/>
      <c r="B203" s="685"/>
      <c r="C203" s="650"/>
      <c r="D203" s="650"/>
      <c r="E203" s="674"/>
      <c r="F203" s="674"/>
      <c r="G203" s="674"/>
      <c r="H203" s="674"/>
      <c r="K203" s="672"/>
    </row>
    <row r="204" spans="1:11" s="642" customFormat="1">
      <c r="A204" s="673"/>
      <c r="B204" s="685"/>
      <c r="C204" s="650"/>
      <c r="D204" s="650"/>
      <c r="E204" s="674"/>
      <c r="F204" s="674"/>
      <c r="G204" s="674"/>
      <c r="H204" s="674"/>
      <c r="K204" s="672"/>
    </row>
    <row r="205" spans="1:11" s="642" customFormat="1">
      <c r="A205" s="673"/>
      <c r="B205" s="685"/>
      <c r="C205" s="650"/>
      <c r="D205" s="650"/>
      <c r="E205" s="674"/>
      <c r="F205" s="674"/>
      <c r="G205" s="674"/>
      <c r="H205" s="674"/>
      <c r="K205" s="672"/>
    </row>
    <row r="206" spans="1:11" s="642" customFormat="1">
      <c r="A206" s="673"/>
      <c r="B206" s="685"/>
      <c r="C206" s="650"/>
      <c r="D206" s="650"/>
      <c r="E206" s="674"/>
      <c r="F206" s="674"/>
      <c r="G206" s="674"/>
      <c r="H206" s="674"/>
      <c r="K206" s="672"/>
    </row>
    <row r="207" spans="1:11" s="642" customFormat="1">
      <c r="A207" s="673"/>
      <c r="B207" s="685"/>
      <c r="C207" s="650"/>
      <c r="D207" s="650"/>
      <c r="E207" s="674"/>
      <c r="F207" s="674"/>
      <c r="G207" s="674"/>
      <c r="H207" s="674"/>
      <c r="K207" s="672"/>
    </row>
    <row r="208" spans="1:11" s="642" customFormat="1">
      <c r="A208" s="673"/>
      <c r="B208" s="685"/>
      <c r="C208" s="650"/>
      <c r="D208" s="650"/>
      <c r="E208" s="674"/>
      <c r="F208" s="674"/>
      <c r="G208" s="674"/>
      <c r="H208" s="674"/>
      <c r="K208" s="672"/>
    </row>
    <row r="209" spans="1:11" s="642" customFormat="1">
      <c r="A209" s="673"/>
      <c r="B209" s="685"/>
      <c r="C209" s="650"/>
      <c r="D209" s="650"/>
      <c r="E209" s="674"/>
      <c r="F209" s="674"/>
      <c r="G209" s="674"/>
      <c r="H209" s="674"/>
      <c r="K209" s="672"/>
    </row>
    <row r="210" spans="1:11" s="642" customFormat="1">
      <c r="A210" s="673"/>
      <c r="B210" s="685"/>
      <c r="C210" s="650"/>
      <c r="D210" s="650"/>
      <c r="E210" s="674"/>
      <c r="F210" s="674"/>
      <c r="G210" s="674"/>
      <c r="H210" s="674"/>
      <c r="K210" s="672"/>
    </row>
    <row r="211" spans="1:11" s="642" customFormat="1">
      <c r="A211" s="673"/>
      <c r="B211" s="685"/>
      <c r="C211" s="650"/>
      <c r="D211" s="650"/>
      <c r="E211" s="674"/>
      <c r="F211" s="674"/>
      <c r="G211" s="674"/>
      <c r="H211" s="674"/>
      <c r="K211" s="672"/>
    </row>
    <row r="212" spans="1:11" s="642" customFormat="1">
      <c r="A212" s="673"/>
      <c r="B212" s="685"/>
      <c r="C212" s="650"/>
      <c r="D212" s="650"/>
      <c r="E212" s="674"/>
      <c r="F212" s="674"/>
      <c r="G212" s="674"/>
      <c r="H212" s="674"/>
      <c r="K212" s="672"/>
    </row>
    <row r="213" spans="1:11" s="642" customFormat="1">
      <c r="A213" s="673"/>
      <c r="B213" s="685"/>
      <c r="C213" s="650"/>
      <c r="D213" s="650"/>
      <c r="E213" s="674"/>
      <c r="F213" s="674"/>
      <c r="G213" s="674"/>
      <c r="H213" s="674"/>
      <c r="K213" s="672"/>
    </row>
    <row r="214" spans="1:11" s="642" customFormat="1">
      <c r="A214" s="673"/>
      <c r="B214" s="685"/>
      <c r="C214" s="650"/>
      <c r="D214" s="650"/>
      <c r="E214" s="674"/>
      <c r="F214" s="674"/>
      <c r="G214" s="674"/>
      <c r="H214" s="674"/>
      <c r="K214" s="672"/>
    </row>
    <row r="215" spans="1:11" s="642" customFormat="1">
      <c r="A215" s="673"/>
      <c r="B215" s="685"/>
      <c r="C215" s="650"/>
      <c r="D215" s="650"/>
      <c r="E215" s="674"/>
      <c r="F215" s="674"/>
      <c r="G215" s="674"/>
      <c r="H215" s="674"/>
      <c r="K215" s="672"/>
    </row>
    <row r="216" spans="1:11" s="642" customFormat="1">
      <c r="A216" s="673"/>
      <c r="B216" s="685"/>
      <c r="C216" s="650"/>
      <c r="D216" s="650"/>
      <c r="E216" s="674"/>
      <c r="F216" s="674"/>
      <c r="G216" s="674"/>
      <c r="H216" s="674"/>
      <c r="K216" s="672"/>
    </row>
    <row r="217" spans="1:11" s="642" customFormat="1">
      <c r="A217" s="673"/>
      <c r="B217" s="685"/>
      <c r="C217" s="650"/>
      <c r="D217" s="650"/>
      <c r="E217" s="674"/>
      <c r="F217" s="674"/>
      <c r="G217" s="674"/>
      <c r="H217" s="674"/>
      <c r="K217" s="672"/>
    </row>
    <row r="218" spans="1:11" s="642" customFormat="1">
      <c r="A218" s="673"/>
      <c r="B218" s="685"/>
      <c r="C218" s="650"/>
      <c r="D218" s="650"/>
      <c r="E218" s="674"/>
      <c r="F218" s="674"/>
      <c r="G218" s="674"/>
      <c r="H218" s="674"/>
      <c r="K218" s="672"/>
    </row>
    <row r="219" spans="1:11" s="642" customFormat="1">
      <c r="A219" s="673"/>
      <c r="B219" s="685"/>
      <c r="C219" s="650"/>
      <c r="D219" s="650"/>
      <c r="E219" s="674"/>
      <c r="F219" s="674"/>
      <c r="G219" s="674"/>
      <c r="H219" s="674"/>
      <c r="K219" s="672"/>
    </row>
    <row r="220" spans="1:11" s="642" customFormat="1">
      <c r="A220" s="673"/>
      <c r="B220" s="685"/>
      <c r="C220" s="650"/>
      <c r="D220" s="650"/>
      <c r="E220" s="674"/>
      <c r="F220" s="674"/>
      <c r="G220" s="674"/>
      <c r="H220" s="674"/>
      <c r="K220" s="672"/>
    </row>
    <row r="221" spans="1:11" s="642" customFormat="1">
      <c r="A221" s="673"/>
      <c r="B221" s="685"/>
      <c r="C221" s="650"/>
      <c r="D221" s="650"/>
      <c r="E221" s="674"/>
      <c r="F221" s="674"/>
      <c r="G221" s="674"/>
      <c r="H221" s="674"/>
      <c r="K221" s="672"/>
    </row>
    <row r="222" spans="1:11" s="642" customFormat="1">
      <c r="A222" s="673"/>
      <c r="B222" s="685"/>
      <c r="C222" s="650"/>
      <c r="D222" s="650"/>
      <c r="E222" s="674"/>
      <c r="F222" s="674"/>
      <c r="G222" s="674"/>
      <c r="H222" s="674"/>
      <c r="K222" s="672"/>
    </row>
    <row r="223" spans="1:11" s="642" customFormat="1">
      <c r="A223" s="673"/>
      <c r="B223" s="685"/>
      <c r="C223" s="650"/>
      <c r="D223" s="650"/>
      <c r="E223" s="674"/>
      <c r="F223" s="674"/>
      <c r="G223" s="674"/>
      <c r="H223" s="674"/>
      <c r="K223" s="672"/>
    </row>
    <row r="224" spans="1:11" s="642" customFormat="1">
      <c r="A224" s="673"/>
      <c r="B224" s="685"/>
      <c r="C224" s="650"/>
      <c r="D224" s="650"/>
      <c r="E224" s="674"/>
      <c r="F224" s="674"/>
      <c r="G224" s="674"/>
      <c r="H224" s="674"/>
      <c r="K224" s="672"/>
    </row>
    <row r="225" spans="1:11" s="642" customFormat="1">
      <c r="A225" s="673"/>
      <c r="B225" s="685"/>
      <c r="C225" s="650"/>
      <c r="D225" s="650"/>
      <c r="E225" s="674"/>
      <c r="F225" s="674"/>
      <c r="G225" s="674"/>
      <c r="H225" s="674"/>
      <c r="K225" s="672"/>
    </row>
    <row r="226" spans="1:11" s="642" customFormat="1">
      <c r="A226" s="673"/>
      <c r="B226" s="685"/>
      <c r="C226" s="650"/>
      <c r="D226" s="650"/>
      <c r="E226" s="674"/>
      <c r="F226" s="674"/>
      <c r="G226" s="674"/>
      <c r="H226" s="674"/>
      <c r="K226" s="672"/>
    </row>
    <row r="227" spans="1:11" s="642" customFormat="1">
      <c r="A227" s="673"/>
      <c r="B227" s="685"/>
      <c r="C227" s="650"/>
      <c r="D227" s="650"/>
      <c r="E227" s="674"/>
      <c r="F227" s="674"/>
      <c r="G227" s="674"/>
      <c r="H227" s="674"/>
      <c r="K227" s="672"/>
    </row>
    <row r="228" spans="1:11" s="642" customFormat="1">
      <c r="A228" s="673"/>
      <c r="B228" s="685"/>
      <c r="C228" s="650"/>
      <c r="D228" s="650"/>
      <c r="E228" s="674"/>
      <c r="F228" s="674"/>
      <c r="G228" s="674"/>
      <c r="H228" s="674"/>
      <c r="K228" s="672"/>
    </row>
    <row r="229" spans="1:11" s="642" customFormat="1">
      <c r="A229" s="673"/>
      <c r="B229" s="685"/>
      <c r="C229" s="650"/>
      <c r="D229" s="650"/>
      <c r="E229" s="674"/>
      <c r="F229" s="674"/>
      <c r="G229" s="674"/>
      <c r="H229" s="674"/>
      <c r="K229" s="672"/>
    </row>
    <row r="230" spans="1:11" s="642" customFormat="1">
      <c r="A230" s="673"/>
      <c r="B230" s="685"/>
      <c r="C230" s="650"/>
      <c r="D230" s="650"/>
      <c r="E230" s="674"/>
      <c r="F230" s="674"/>
      <c r="G230" s="674"/>
      <c r="H230" s="674"/>
      <c r="K230" s="672"/>
    </row>
    <row r="231" spans="1:11" s="642" customFormat="1">
      <c r="A231" s="673"/>
      <c r="B231" s="685"/>
      <c r="C231" s="650"/>
      <c r="D231" s="650"/>
      <c r="E231" s="674"/>
      <c r="F231" s="674"/>
      <c r="G231" s="674"/>
      <c r="H231" s="674"/>
      <c r="K231" s="672"/>
    </row>
    <row r="232" spans="1:11" s="642" customFormat="1">
      <c r="A232" s="673"/>
      <c r="B232" s="685"/>
      <c r="C232" s="650"/>
      <c r="D232" s="650"/>
      <c r="E232" s="674"/>
      <c r="F232" s="674"/>
      <c r="G232" s="674"/>
      <c r="H232" s="674"/>
      <c r="K232" s="672"/>
    </row>
    <row r="233" spans="1:11" s="642" customFormat="1">
      <c r="A233" s="673"/>
      <c r="B233" s="685"/>
      <c r="C233" s="650"/>
      <c r="D233" s="650"/>
      <c r="E233" s="674"/>
      <c r="F233" s="674"/>
      <c r="G233" s="674"/>
      <c r="H233" s="674"/>
      <c r="K233" s="672"/>
    </row>
    <row r="234" spans="1:11" s="642" customFormat="1">
      <c r="A234" s="673"/>
      <c r="B234" s="685"/>
      <c r="C234" s="650"/>
      <c r="D234" s="650"/>
      <c r="E234" s="674"/>
      <c r="F234" s="674"/>
      <c r="G234" s="674"/>
      <c r="H234" s="674"/>
      <c r="K234" s="672"/>
    </row>
    <row r="235" spans="1:11" s="642" customFormat="1">
      <c r="A235" s="673"/>
      <c r="B235" s="685"/>
      <c r="C235" s="650"/>
      <c r="D235" s="650"/>
      <c r="E235" s="674"/>
      <c r="F235" s="674"/>
      <c r="G235" s="674"/>
      <c r="H235" s="674"/>
      <c r="K235" s="672"/>
    </row>
    <row r="236" spans="1:11" s="642" customFormat="1">
      <c r="A236" s="673"/>
      <c r="B236" s="685"/>
      <c r="C236" s="650"/>
      <c r="D236" s="650"/>
      <c r="E236" s="674"/>
      <c r="F236" s="674"/>
      <c r="G236" s="674"/>
      <c r="H236" s="674"/>
      <c r="K236" s="672"/>
    </row>
    <row r="237" spans="1:11" s="642" customFormat="1">
      <c r="A237" s="673"/>
      <c r="B237" s="685"/>
      <c r="C237" s="650"/>
      <c r="D237" s="650"/>
      <c r="E237" s="674"/>
      <c r="F237" s="674"/>
      <c r="G237" s="674"/>
      <c r="H237" s="674"/>
      <c r="K237" s="672"/>
    </row>
    <row r="238" spans="1:11" s="642" customFormat="1">
      <c r="A238" s="673"/>
      <c r="B238" s="685"/>
      <c r="C238" s="650"/>
      <c r="D238" s="650"/>
      <c r="E238" s="674"/>
      <c r="F238" s="674"/>
      <c r="G238" s="674"/>
      <c r="H238" s="674"/>
      <c r="K238" s="672"/>
    </row>
    <row r="239" spans="1:11" s="642" customFormat="1">
      <c r="A239" s="673"/>
      <c r="B239" s="685"/>
      <c r="C239" s="650"/>
      <c r="D239" s="650"/>
      <c r="E239" s="674"/>
      <c r="F239" s="674"/>
      <c r="G239" s="674"/>
      <c r="H239" s="674"/>
      <c r="K239" s="672"/>
    </row>
    <row r="240" spans="1:11" s="642" customFormat="1">
      <c r="A240" s="673"/>
      <c r="B240" s="685"/>
      <c r="C240" s="650"/>
      <c r="D240" s="650"/>
      <c r="E240" s="674"/>
      <c r="F240" s="674"/>
      <c r="G240" s="674"/>
      <c r="H240" s="674"/>
      <c r="K240" s="672"/>
    </row>
    <row r="241" spans="1:11" s="642" customFormat="1">
      <c r="A241" s="673"/>
      <c r="B241" s="685"/>
      <c r="C241" s="650"/>
      <c r="D241" s="650"/>
      <c r="E241" s="674"/>
      <c r="F241" s="674"/>
      <c r="G241" s="674"/>
      <c r="H241" s="674"/>
      <c r="K241" s="672"/>
    </row>
    <row r="242" spans="1:11" s="642" customFormat="1">
      <c r="A242" s="673"/>
      <c r="B242" s="685"/>
      <c r="C242" s="650"/>
      <c r="D242" s="650"/>
      <c r="E242" s="674"/>
      <c r="F242" s="674"/>
      <c r="G242" s="674"/>
      <c r="H242" s="674"/>
      <c r="K242" s="672"/>
    </row>
    <row r="243" spans="1:11" s="642" customFormat="1">
      <c r="A243" s="673"/>
      <c r="B243" s="685"/>
      <c r="C243" s="650"/>
      <c r="D243" s="650"/>
      <c r="E243" s="674"/>
      <c r="F243" s="674"/>
      <c r="G243" s="674"/>
      <c r="H243" s="674"/>
      <c r="K243" s="672"/>
    </row>
    <row r="244" spans="1:11" s="642" customFormat="1">
      <c r="A244" s="673"/>
      <c r="B244" s="685"/>
      <c r="C244" s="650"/>
      <c r="D244" s="650"/>
      <c r="E244" s="674"/>
      <c r="F244" s="674"/>
      <c r="G244" s="674"/>
      <c r="H244" s="674"/>
      <c r="K244" s="672"/>
    </row>
    <row r="245" spans="1:11" s="642" customFormat="1">
      <c r="A245" s="673"/>
      <c r="B245" s="685"/>
      <c r="C245" s="650"/>
      <c r="D245" s="650"/>
      <c r="E245" s="674"/>
      <c r="F245" s="674"/>
      <c r="G245" s="674"/>
      <c r="H245" s="674"/>
      <c r="K245" s="672"/>
    </row>
    <row r="246" spans="1:11" s="642" customFormat="1">
      <c r="A246" s="673"/>
      <c r="B246" s="685"/>
      <c r="C246" s="650"/>
      <c r="D246" s="650"/>
      <c r="E246" s="674"/>
      <c r="F246" s="674"/>
      <c r="G246" s="674"/>
      <c r="H246" s="674"/>
      <c r="K246" s="672"/>
    </row>
    <row r="247" spans="1:11" s="642" customFormat="1">
      <c r="A247" s="673"/>
      <c r="B247" s="685"/>
      <c r="C247" s="650"/>
      <c r="D247" s="650"/>
      <c r="E247" s="674"/>
      <c r="F247" s="674"/>
      <c r="G247" s="674"/>
      <c r="H247" s="674"/>
      <c r="K247" s="672"/>
    </row>
    <row r="248" spans="1:11" s="642" customFormat="1">
      <c r="A248" s="673"/>
      <c r="B248" s="685"/>
      <c r="C248" s="650"/>
      <c r="D248" s="650"/>
      <c r="E248" s="674"/>
      <c r="F248" s="674"/>
      <c r="G248" s="674"/>
      <c r="H248" s="674"/>
      <c r="K248" s="672"/>
    </row>
    <row r="249" spans="1:11" s="642" customFormat="1">
      <c r="A249" s="673"/>
      <c r="B249" s="685"/>
      <c r="C249" s="650"/>
      <c r="D249" s="650"/>
      <c r="E249" s="674"/>
      <c r="F249" s="674"/>
      <c r="G249" s="674"/>
      <c r="H249" s="674"/>
      <c r="K249" s="672"/>
    </row>
    <row r="250" spans="1:11" s="642" customFormat="1">
      <c r="A250" s="673"/>
      <c r="B250" s="685"/>
      <c r="C250" s="650"/>
      <c r="D250" s="650"/>
      <c r="E250" s="674"/>
      <c r="F250" s="674"/>
      <c r="G250" s="674"/>
      <c r="H250" s="674"/>
      <c r="K250" s="672"/>
    </row>
    <row r="251" spans="1:11" s="642" customFormat="1">
      <c r="A251" s="673"/>
      <c r="B251" s="685"/>
      <c r="C251" s="650"/>
      <c r="D251" s="650"/>
      <c r="E251" s="674"/>
      <c r="F251" s="674"/>
      <c r="G251" s="674"/>
      <c r="H251" s="674"/>
      <c r="K251" s="672"/>
    </row>
    <row r="252" spans="1:11" s="642" customFormat="1">
      <c r="A252" s="673"/>
      <c r="B252" s="685"/>
      <c r="C252" s="650"/>
      <c r="D252" s="650"/>
      <c r="E252" s="674"/>
      <c r="F252" s="674"/>
      <c r="G252" s="674"/>
      <c r="H252" s="674"/>
      <c r="K252" s="672"/>
    </row>
    <row r="253" spans="1:11" s="642" customFormat="1">
      <c r="A253" s="673"/>
      <c r="B253" s="685"/>
      <c r="C253" s="650"/>
      <c r="D253" s="650"/>
      <c r="E253" s="674"/>
      <c r="F253" s="674"/>
      <c r="G253" s="674"/>
      <c r="H253" s="674"/>
      <c r="K253" s="672"/>
    </row>
    <row r="254" spans="1:11" s="642" customFormat="1">
      <c r="A254" s="673"/>
      <c r="B254" s="685"/>
      <c r="C254" s="650"/>
      <c r="D254" s="650"/>
      <c r="E254" s="674"/>
      <c r="F254" s="674"/>
      <c r="G254" s="674"/>
      <c r="H254" s="674"/>
      <c r="K254" s="672"/>
    </row>
    <row r="255" spans="1:11" s="642" customFormat="1">
      <c r="A255" s="673"/>
      <c r="B255" s="685"/>
      <c r="C255" s="650"/>
      <c r="D255" s="650"/>
      <c r="E255" s="674"/>
      <c r="F255" s="674"/>
      <c r="G255" s="674"/>
      <c r="H255" s="674"/>
      <c r="K255" s="672"/>
    </row>
    <row r="256" spans="1:11" s="642" customFormat="1">
      <c r="A256" s="673"/>
      <c r="B256" s="685"/>
      <c r="C256" s="650"/>
      <c r="D256" s="650"/>
      <c r="E256" s="674"/>
      <c r="F256" s="674"/>
      <c r="G256" s="674"/>
      <c r="H256" s="674"/>
      <c r="K256" s="672"/>
    </row>
    <row r="257" spans="1:38" s="642" customFormat="1">
      <c r="A257" s="673"/>
      <c r="B257" s="685"/>
      <c r="C257" s="650"/>
      <c r="D257" s="650"/>
      <c r="E257" s="674"/>
      <c r="F257" s="674"/>
      <c r="G257" s="674"/>
      <c r="H257" s="674"/>
      <c r="K257" s="672"/>
    </row>
    <row r="258" spans="1:38" s="642" customFormat="1">
      <c r="A258" s="673"/>
      <c r="B258" s="685"/>
      <c r="C258" s="650"/>
      <c r="D258" s="650"/>
      <c r="E258" s="674"/>
      <c r="F258" s="674"/>
      <c r="G258" s="674"/>
      <c r="H258" s="674"/>
      <c r="K258" s="672"/>
    </row>
    <row r="259" spans="1:38" s="642" customFormat="1">
      <c r="A259" s="673"/>
      <c r="B259" s="685"/>
      <c r="C259" s="650"/>
      <c r="D259" s="650"/>
      <c r="E259" s="674"/>
      <c r="F259" s="674"/>
      <c r="G259" s="674"/>
      <c r="H259" s="674"/>
      <c r="K259" s="672"/>
    </row>
    <row r="260" spans="1:38" s="642" customFormat="1">
      <c r="A260" s="673"/>
      <c r="B260" s="685"/>
      <c r="C260" s="650"/>
      <c r="D260" s="650"/>
      <c r="E260" s="674"/>
      <c r="F260" s="674"/>
      <c r="G260" s="674"/>
      <c r="H260" s="674"/>
      <c r="K260" s="672"/>
    </row>
    <row r="261" spans="1:38" s="642" customFormat="1">
      <c r="A261" s="673"/>
      <c r="B261" s="685"/>
      <c r="C261" s="650"/>
      <c r="D261" s="650"/>
      <c r="E261" s="674"/>
      <c r="F261" s="674"/>
      <c r="G261" s="674"/>
      <c r="H261" s="674"/>
      <c r="K261" s="672"/>
    </row>
    <row r="262" spans="1:38" s="642" customFormat="1">
      <c r="A262" s="673"/>
      <c r="B262" s="685"/>
      <c r="C262" s="650"/>
      <c r="D262" s="650"/>
      <c r="E262" s="674"/>
      <c r="F262" s="674"/>
      <c r="G262" s="674"/>
      <c r="H262" s="674"/>
      <c r="K262" s="672"/>
    </row>
    <row r="263" spans="1:38" s="642" customFormat="1">
      <c r="A263" s="673"/>
      <c r="B263" s="685"/>
      <c r="C263" s="650"/>
      <c r="D263" s="650"/>
      <c r="E263" s="674"/>
      <c r="F263" s="674"/>
      <c r="G263" s="674"/>
      <c r="H263" s="674"/>
      <c r="K263" s="672"/>
    </row>
    <row r="264" spans="1:38" s="642" customFormat="1">
      <c r="A264" s="673"/>
      <c r="B264" s="685"/>
      <c r="C264" s="650"/>
      <c r="D264" s="650"/>
      <c r="E264" s="674"/>
      <c r="F264" s="674"/>
      <c r="G264" s="674"/>
      <c r="H264" s="674"/>
      <c r="K264" s="672"/>
    </row>
    <row r="265" spans="1:38" s="642" customFormat="1">
      <c r="A265" s="673"/>
      <c r="B265" s="685"/>
      <c r="C265" s="650"/>
      <c r="D265" s="650"/>
      <c r="E265" s="674"/>
      <c r="F265" s="674"/>
      <c r="G265" s="674"/>
      <c r="H265" s="674"/>
      <c r="K265" s="672"/>
    </row>
    <row r="266" spans="1:38" s="642" customFormat="1">
      <c r="A266" s="673"/>
      <c r="B266" s="685"/>
      <c r="C266" s="650"/>
      <c r="D266" s="650"/>
      <c r="E266" s="674"/>
      <c r="F266" s="674"/>
      <c r="G266" s="674"/>
      <c r="H266" s="674"/>
      <c r="K266" s="672"/>
    </row>
    <row r="267" spans="1:38" s="642" customFormat="1">
      <c r="A267" s="673"/>
      <c r="B267" s="685"/>
      <c r="C267" s="650"/>
      <c r="D267" s="650"/>
      <c r="E267" s="674"/>
      <c r="F267" s="674"/>
      <c r="G267" s="674"/>
      <c r="H267" s="674"/>
      <c r="K267" s="672"/>
    </row>
    <row r="268" spans="1:38" s="667" customFormat="1">
      <c r="A268" s="666"/>
      <c r="B268" s="1065"/>
      <c r="C268" s="668"/>
      <c r="D268" s="668"/>
      <c r="E268" s="669"/>
      <c r="F268" s="669"/>
      <c r="G268" s="669"/>
      <c r="H268" s="669"/>
      <c r="K268" s="688"/>
      <c r="L268" s="642"/>
      <c r="M268" s="642"/>
      <c r="N268" s="642"/>
      <c r="O268" s="642"/>
      <c r="P268" s="642"/>
      <c r="Q268" s="642"/>
      <c r="R268" s="642"/>
      <c r="S268" s="642"/>
      <c r="T268" s="642"/>
      <c r="U268" s="642"/>
      <c r="V268" s="642"/>
      <c r="W268" s="642"/>
      <c r="X268" s="642"/>
      <c r="Y268" s="642"/>
      <c r="Z268" s="642"/>
      <c r="AA268" s="642"/>
      <c r="AB268" s="642"/>
      <c r="AC268" s="642"/>
      <c r="AD268" s="642"/>
      <c r="AE268" s="642"/>
      <c r="AF268" s="642"/>
      <c r="AG268" s="642"/>
      <c r="AH268" s="642"/>
      <c r="AI268" s="642"/>
      <c r="AJ268" s="642"/>
      <c r="AK268" s="642"/>
      <c r="AL268" s="642"/>
    </row>
    <row r="269" spans="1:38">
      <c r="A269" s="612"/>
      <c r="B269" s="1066"/>
      <c r="C269" s="601"/>
      <c r="D269" s="601"/>
      <c r="E269" s="607"/>
      <c r="F269" s="607"/>
      <c r="G269" s="607"/>
      <c r="H269" s="607"/>
      <c r="I269" s="594"/>
      <c r="J269" s="594"/>
    </row>
    <row r="270" spans="1:38">
      <c r="A270" s="612"/>
      <c r="B270" s="1066"/>
      <c r="C270" s="601"/>
      <c r="D270" s="601"/>
      <c r="E270" s="607"/>
      <c r="F270" s="607"/>
      <c r="G270" s="607"/>
      <c r="H270" s="607"/>
      <c r="I270" s="594"/>
      <c r="J270" s="594"/>
    </row>
    <row r="271" spans="1:38">
      <c r="A271" s="612"/>
      <c r="B271" s="1066"/>
      <c r="C271" s="601"/>
      <c r="D271" s="601"/>
      <c r="E271" s="607"/>
      <c r="F271" s="607"/>
      <c r="G271" s="607"/>
      <c r="H271" s="607"/>
      <c r="I271" s="594"/>
      <c r="J271" s="594"/>
    </row>
    <row r="272" spans="1:38">
      <c r="A272" s="612"/>
      <c r="B272" s="1066"/>
      <c r="C272" s="601"/>
      <c r="D272" s="601"/>
      <c r="E272" s="607"/>
      <c r="F272" s="607"/>
      <c r="G272" s="607"/>
      <c r="H272" s="607"/>
      <c r="I272" s="594"/>
      <c r="J272" s="594"/>
    </row>
    <row r="273" spans="1:10">
      <c r="A273" s="612"/>
      <c r="B273" s="1066"/>
      <c r="C273" s="601"/>
      <c r="D273" s="601"/>
      <c r="E273" s="607"/>
      <c r="F273" s="607"/>
      <c r="G273" s="607"/>
      <c r="H273" s="607"/>
      <c r="I273" s="594"/>
      <c r="J273" s="594"/>
    </row>
    <row r="274" spans="1:10">
      <c r="A274" s="612"/>
      <c r="B274" s="1066"/>
      <c r="C274" s="601"/>
      <c r="D274" s="601"/>
      <c r="E274" s="607"/>
      <c r="F274" s="607"/>
      <c r="G274" s="607"/>
      <c r="H274" s="607"/>
      <c r="I274" s="594"/>
      <c r="J274" s="594"/>
    </row>
    <row r="275" spans="1:10">
      <c r="A275" s="612"/>
      <c r="B275" s="1066"/>
      <c r="C275" s="601"/>
      <c r="D275" s="601"/>
      <c r="E275" s="607"/>
      <c r="F275" s="607"/>
      <c r="G275" s="607"/>
      <c r="H275" s="607"/>
      <c r="I275" s="594"/>
      <c r="J275" s="594"/>
    </row>
    <row r="276" spans="1:10">
      <c r="A276" s="612"/>
      <c r="B276" s="1066"/>
      <c r="C276" s="601"/>
      <c r="D276" s="601"/>
      <c r="E276" s="607"/>
      <c r="F276" s="607"/>
      <c r="G276" s="607"/>
      <c r="H276" s="607"/>
      <c r="I276" s="594"/>
      <c r="J276" s="594"/>
    </row>
    <row r="277" spans="1:10">
      <c r="A277" s="612"/>
      <c r="B277" s="1066"/>
      <c r="C277" s="601"/>
      <c r="D277" s="601"/>
      <c r="E277" s="607"/>
      <c r="F277" s="607"/>
      <c r="G277" s="607"/>
      <c r="H277" s="607"/>
      <c r="I277" s="594"/>
      <c r="J277" s="594"/>
    </row>
    <row r="278" spans="1:10">
      <c r="A278" s="612"/>
      <c r="B278" s="1066"/>
      <c r="C278" s="601"/>
      <c r="D278" s="601"/>
      <c r="E278" s="607"/>
      <c r="F278" s="607"/>
      <c r="G278" s="607"/>
      <c r="H278" s="607"/>
      <c r="I278" s="594"/>
      <c r="J278" s="594"/>
    </row>
    <row r="279" spans="1:10">
      <c r="A279" s="612"/>
      <c r="B279" s="1066"/>
      <c r="C279" s="601"/>
      <c r="D279" s="601"/>
      <c r="E279" s="607"/>
      <c r="F279" s="607"/>
      <c r="G279" s="607"/>
      <c r="H279" s="607"/>
      <c r="I279" s="594"/>
      <c r="J279" s="594"/>
    </row>
  </sheetData>
  <sheetProtection algorithmName="SHA-512" hashValue="XeoWrEjIX3yQ6broqYHSShgQbV2VeDHk6NQDH/7xJ2WpCK11WRhs7gtZPd45BKJUvnmW4aCgTjz19SiDy7D2aQ==" saltValue="zbKBvbrra6mSupE7t0h8MA==" spinCount="100000" sheet="1" selectLockedCells="1"/>
  <phoneticPr fontId="4" type="noConversion"/>
  <printOptions horizontalCentered="1" verticalCentered="1"/>
  <pageMargins left="1.1811023622047245" right="0.31496062992125984" top="0.31496062992125984" bottom="0.78740157480314965" header="0.51181102362204722" footer="0.55118110236220474"/>
  <pageSetup paperSize="9" scale="70" firstPageNumber="0" orientation="landscape" horizontalDpi="300" verticalDpi="300" r:id="rId1"/>
  <headerFooter alignWithMargins="0">
    <oddFooter>&amp;C&amp;P</oddFooter>
  </headerFooter>
  <rowBreaks count="3" manualBreakCount="3">
    <brk id="3" max="10" man="1"/>
    <brk id="23" max="10" man="1"/>
    <brk id="49" max="10" man="1"/>
  </rowBreaks>
  <colBreaks count="1" manualBreakCount="1">
    <brk id="8" max="7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91"/>
  <sheetViews>
    <sheetView view="pageBreakPreview" zoomScale="80" zoomScaleNormal="85" zoomScaleSheetLayoutView="80" workbookViewId="0">
      <pane ySplit="3" topLeftCell="A4" activePane="bottomLeft" state="frozen"/>
      <selection pane="bottomLeft" activeCell="E1" sqref="E1:J1048576"/>
    </sheetView>
  </sheetViews>
  <sheetFormatPr defaultRowHeight="14.25"/>
  <cols>
    <col min="1" max="1" width="12.85546875" style="839" customWidth="1"/>
    <col min="2" max="2" width="80.140625" style="839" customWidth="1"/>
    <col min="3" max="3" width="19" style="1175" customWidth="1"/>
    <col min="4" max="4" width="9.140625" style="839" customWidth="1"/>
    <col min="5" max="5" width="20.7109375" style="887" hidden="1" customWidth="1"/>
    <col min="6" max="6" width="14.7109375" style="887" hidden="1" customWidth="1"/>
    <col min="7" max="7" width="13.42578125" style="887" hidden="1" customWidth="1"/>
    <col min="8" max="8" width="15.28515625" style="887" hidden="1" customWidth="1"/>
    <col min="9" max="9" width="15.7109375" style="887" hidden="1" customWidth="1"/>
    <col min="10" max="10" width="16.28515625" style="887" hidden="1" customWidth="1"/>
    <col min="11" max="11" width="12.5703125" style="839" customWidth="1"/>
    <col min="12" max="13" width="15.140625" style="839" customWidth="1"/>
    <col min="14" max="16384" width="9.140625" style="839"/>
  </cols>
  <sheetData>
    <row r="1" spans="1:13" ht="15" thickBot="1">
      <c r="A1" s="866" t="s">
        <v>2250</v>
      </c>
      <c r="B1" s="867"/>
      <c r="C1" s="1157"/>
      <c r="D1" s="867"/>
      <c r="E1" s="867"/>
      <c r="F1" s="867"/>
      <c r="G1" s="867"/>
      <c r="H1" s="867"/>
      <c r="I1" s="867"/>
      <c r="J1" s="867"/>
      <c r="K1" s="868"/>
      <c r="L1" s="868"/>
      <c r="M1" s="869"/>
    </row>
    <row r="2" spans="1:13" s="1178" customFormat="1" ht="54" customHeight="1" thickBot="1">
      <c r="A2" s="1149" t="s">
        <v>222</v>
      </c>
      <c r="B2" s="1150" t="s">
        <v>223</v>
      </c>
      <c r="C2" s="1177" t="s">
        <v>230</v>
      </c>
      <c r="D2" s="1147" t="s">
        <v>224</v>
      </c>
      <c r="E2" s="1439" t="s">
        <v>2367</v>
      </c>
      <c r="F2" s="1440"/>
      <c r="G2" s="1441" t="s">
        <v>2368</v>
      </c>
      <c r="H2" s="1442" t="s">
        <v>2366</v>
      </c>
      <c r="I2" s="1443"/>
      <c r="J2" s="1444"/>
      <c r="K2" s="1147" t="s">
        <v>341</v>
      </c>
      <c r="L2" s="1147" t="s">
        <v>342</v>
      </c>
      <c r="M2" s="1148" t="s">
        <v>343</v>
      </c>
    </row>
    <row r="3" spans="1:13" s="1184" customFormat="1" ht="28.5">
      <c r="A3" s="1179"/>
      <c r="B3" s="1180"/>
      <c r="C3" s="1181"/>
      <c r="D3" s="1182"/>
      <c r="E3" s="1437" t="s">
        <v>2735</v>
      </c>
      <c r="F3" s="1437" t="s">
        <v>2736</v>
      </c>
      <c r="G3" s="1438" t="s">
        <v>2737</v>
      </c>
      <c r="H3" s="1437" t="s">
        <v>2738</v>
      </c>
      <c r="I3" s="1437" t="s">
        <v>2739</v>
      </c>
      <c r="J3" s="1437" t="s">
        <v>2740</v>
      </c>
      <c r="K3" s="1182"/>
      <c r="L3" s="1182"/>
      <c r="M3" s="1183"/>
    </row>
    <row r="4" spans="1:13">
      <c r="A4" s="920">
        <v>4</v>
      </c>
      <c r="B4" s="920" t="s">
        <v>666</v>
      </c>
      <c r="C4" s="1158" t="s">
        <v>2264</v>
      </c>
      <c r="D4" s="928"/>
      <c r="E4" s="881"/>
      <c r="F4" s="881"/>
      <c r="G4" s="881"/>
      <c r="H4" s="881"/>
      <c r="I4" s="881"/>
      <c r="J4" s="881"/>
      <c r="K4" s="870"/>
      <c r="L4" s="871"/>
      <c r="M4" s="872">
        <f>M5+M13+M60++M108+M81+M138+M300+M316+M333+M343+M350+M357</f>
        <v>0</v>
      </c>
    </row>
    <row r="5" spans="1:13">
      <c r="A5" s="858" t="s">
        <v>241</v>
      </c>
      <c r="B5" s="858" t="s">
        <v>228</v>
      </c>
      <c r="C5" s="1159"/>
      <c r="D5" s="929"/>
      <c r="E5" s="882"/>
      <c r="F5" s="882"/>
      <c r="G5" s="882"/>
      <c r="H5" s="882"/>
      <c r="I5" s="882"/>
      <c r="J5" s="882"/>
      <c r="K5" s="840"/>
      <c r="L5" s="841"/>
      <c r="M5" s="841">
        <f>SUM(M6:M10)</f>
        <v>0</v>
      </c>
    </row>
    <row r="6" spans="1:13">
      <c r="A6" s="921" t="s">
        <v>1024</v>
      </c>
      <c r="B6" s="835" t="s">
        <v>2335</v>
      </c>
      <c r="C6" s="1160" t="s">
        <v>231</v>
      </c>
      <c r="D6" s="838" t="s">
        <v>18</v>
      </c>
      <c r="E6" s="878">
        <v>1</v>
      </c>
      <c r="F6" s="892">
        <v>1</v>
      </c>
      <c r="G6" s="892">
        <v>1</v>
      </c>
      <c r="H6" s="892">
        <v>1</v>
      </c>
      <c r="I6" s="892">
        <v>1</v>
      </c>
      <c r="J6" s="892">
        <v>1</v>
      </c>
      <c r="K6" s="843">
        <f>SUM(E6:J6)</f>
        <v>6</v>
      </c>
      <c r="L6" s="844"/>
      <c r="M6" s="843">
        <f>K6*L6</f>
        <v>0</v>
      </c>
    </row>
    <row r="7" spans="1:13">
      <c r="A7" s="921" t="s">
        <v>1025</v>
      </c>
      <c r="B7" s="835" t="s">
        <v>669</v>
      </c>
      <c r="C7" s="1161"/>
      <c r="D7" s="838" t="s">
        <v>18</v>
      </c>
      <c r="E7" s="892">
        <v>1</v>
      </c>
      <c r="F7" s="892">
        <v>1</v>
      </c>
      <c r="G7" s="892">
        <v>1</v>
      </c>
      <c r="H7" s="892">
        <v>1</v>
      </c>
      <c r="I7" s="892">
        <v>1</v>
      </c>
      <c r="J7" s="892">
        <v>1</v>
      </c>
      <c r="K7" s="843">
        <f t="shared" ref="K7:K51" si="0">SUM(E7:J7)</f>
        <v>6</v>
      </c>
      <c r="L7" s="844"/>
      <c r="M7" s="843">
        <f t="shared" ref="M7:M51" si="1">K7*L7</f>
        <v>0</v>
      </c>
    </row>
    <row r="8" spans="1:13">
      <c r="A8" s="921" t="s">
        <v>1026</v>
      </c>
      <c r="B8" s="835" t="s">
        <v>2340</v>
      </c>
      <c r="C8" s="1162"/>
      <c r="D8" s="838" t="s">
        <v>18</v>
      </c>
      <c r="E8" s="878">
        <v>1</v>
      </c>
      <c r="F8" s="892">
        <v>1</v>
      </c>
      <c r="G8" s="892">
        <v>1</v>
      </c>
      <c r="H8" s="892">
        <v>1</v>
      </c>
      <c r="I8" s="892">
        <v>1</v>
      </c>
      <c r="J8" s="892">
        <v>1</v>
      </c>
      <c r="K8" s="843">
        <f t="shared" si="0"/>
        <v>6</v>
      </c>
      <c r="L8" s="844"/>
      <c r="M8" s="843">
        <f t="shared" si="1"/>
        <v>0</v>
      </c>
    </row>
    <row r="9" spans="1:13">
      <c r="A9" s="921" t="s">
        <v>1027</v>
      </c>
      <c r="B9" s="835" t="s">
        <v>2338</v>
      </c>
      <c r="C9" s="1162"/>
      <c r="D9" s="838" t="s">
        <v>18</v>
      </c>
      <c r="E9" s="892">
        <v>1</v>
      </c>
      <c r="F9" s="892">
        <v>1</v>
      </c>
      <c r="G9" s="892">
        <v>1</v>
      </c>
      <c r="H9" s="892">
        <v>1</v>
      </c>
      <c r="I9" s="892">
        <v>1</v>
      </c>
      <c r="J9" s="892">
        <v>1</v>
      </c>
      <c r="K9" s="843">
        <f t="shared" si="0"/>
        <v>6</v>
      </c>
      <c r="L9" s="844"/>
      <c r="M9" s="843">
        <f t="shared" si="1"/>
        <v>0</v>
      </c>
    </row>
    <row r="10" spans="1:13">
      <c r="A10" s="921" t="s">
        <v>1028</v>
      </c>
      <c r="B10" s="835" t="s">
        <v>2339</v>
      </c>
      <c r="C10" s="1162"/>
      <c r="D10" s="1378" t="s">
        <v>18</v>
      </c>
      <c r="E10" s="1383">
        <v>1</v>
      </c>
      <c r="F10" s="1383">
        <v>1</v>
      </c>
      <c r="G10" s="1383">
        <v>1</v>
      </c>
      <c r="H10" s="1383">
        <v>1</v>
      </c>
      <c r="I10" s="1383">
        <v>1</v>
      </c>
      <c r="J10" s="1383">
        <v>1</v>
      </c>
      <c r="K10" s="843"/>
      <c r="L10" s="843"/>
      <c r="M10" s="843"/>
    </row>
    <row r="11" spans="1:13" s="1379" customFormat="1" ht="17.25" customHeight="1">
      <c r="A11" s="1385" t="s">
        <v>2513</v>
      </c>
      <c r="B11" s="1377" t="str">
        <f>'1. KOLEKTORI'!B7</f>
        <v xml:space="preserve">Izrada geodetskog elaborata nultog stanja 
</v>
      </c>
      <c r="C11" s="1162"/>
      <c r="D11" s="1378" t="s">
        <v>18</v>
      </c>
      <c r="E11" s="1383">
        <v>1</v>
      </c>
      <c r="F11" s="1383">
        <v>1</v>
      </c>
      <c r="G11" s="1383">
        <v>1</v>
      </c>
      <c r="H11" s="1383">
        <v>1</v>
      </c>
      <c r="I11" s="1383">
        <v>1</v>
      </c>
      <c r="J11" s="1383">
        <v>1</v>
      </c>
      <c r="K11" s="1380"/>
      <c r="L11" s="1380"/>
      <c r="M11" s="1380"/>
    </row>
    <row r="12" spans="1:13">
      <c r="A12" s="1385" t="s">
        <v>2514</v>
      </c>
      <c r="B12" s="835" t="str">
        <f>'1. KOLEKTORI'!B9</f>
        <v>Izrada elaborata sondiranja prometnica sondama svakih 200 m</v>
      </c>
      <c r="C12" s="1162"/>
      <c r="D12" s="1378" t="s">
        <v>18</v>
      </c>
      <c r="E12" s="1383">
        <v>1</v>
      </c>
      <c r="F12" s="1383">
        <v>1</v>
      </c>
      <c r="G12" s="1383">
        <v>1</v>
      </c>
      <c r="H12" s="1383">
        <v>1</v>
      </c>
      <c r="I12" s="1383">
        <v>1</v>
      </c>
      <c r="J12" s="1383">
        <v>1</v>
      </c>
      <c r="K12" s="843"/>
      <c r="L12" s="843"/>
      <c r="M12" s="843"/>
    </row>
    <row r="13" spans="1:13">
      <c r="A13" s="858" t="s">
        <v>242</v>
      </c>
      <c r="B13" s="1080" t="s">
        <v>229</v>
      </c>
      <c r="C13" s="918"/>
      <c r="D13" s="930"/>
      <c r="E13" s="884"/>
      <c r="F13" s="884"/>
      <c r="G13" s="884"/>
      <c r="H13" s="884"/>
      <c r="I13" s="884"/>
      <c r="J13" s="884"/>
      <c r="K13" s="841"/>
      <c r="L13" s="841"/>
      <c r="M13" s="841">
        <f>SUM(M14:M59)</f>
        <v>0</v>
      </c>
    </row>
    <row r="14" spans="1:13">
      <c r="A14" s="921" t="s">
        <v>1029</v>
      </c>
      <c r="B14" s="1079" t="s">
        <v>345</v>
      </c>
      <c r="C14" s="1160" t="s">
        <v>365</v>
      </c>
      <c r="D14" s="848"/>
      <c r="E14" s="892"/>
      <c r="F14" s="892"/>
      <c r="G14" s="892"/>
      <c r="H14" s="892"/>
      <c r="I14" s="892"/>
      <c r="J14" s="892"/>
      <c r="K14" s="843"/>
      <c r="L14" s="843"/>
      <c r="M14" s="843"/>
    </row>
    <row r="15" spans="1:13">
      <c r="A15" s="922" t="s">
        <v>1515</v>
      </c>
      <c r="B15" s="898" t="s">
        <v>698</v>
      </c>
      <c r="C15" s="1163"/>
      <c r="D15" s="846" t="s">
        <v>11</v>
      </c>
      <c r="E15" s="892">
        <v>12479</v>
      </c>
      <c r="F15" s="892">
        <v>6672</v>
      </c>
      <c r="G15" s="892">
        <v>5681</v>
      </c>
      <c r="H15" s="892">
        <v>222.35</v>
      </c>
      <c r="I15" s="892">
        <v>769</v>
      </c>
      <c r="J15" s="892">
        <v>1905</v>
      </c>
      <c r="K15" s="843">
        <f t="shared" si="0"/>
        <v>27728.35</v>
      </c>
      <c r="L15" s="844"/>
      <c r="M15" s="843">
        <f t="shared" si="1"/>
        <v>0</v>
      </c>
    </row>
    <row r="16" spans="1:13">
      <c r="A16" s="922" t="s">
        <v>1516</v>
      </c>
      <c r="B16" s="898" t="s">
        <v>697</v>
      </c>
      <c r="C16" s="1163"/>
      <c r="D16" s="846" t="s">
        <v>18</v>
      </c>
      <c r="E16" s="892">
        <v>24</v>
      </c>
      <c r="F16" s="892">
        <v>14</v>
      </c>
      <c r="G16" s="892">
        <v>12</v>
      </c>
      <c r="H16" s="892"/>
      <c r="I16" s="892"/>
      <c r="J16" s="892"/>
      <c r="K16" s="843">
        <f t="shared" si="0"/>
        <v>50</v>
      </c>
      <c r="L16" s="844"/>
      <c r="M16" s="843">
        <f t="shared" si="1"/>
        <v>0</v>
      </c>
    </row>
    <row r="17" spans="1:13">
      <c r="A17" s="921" t="s">
        <v>1030</v>
      </c>
      <c r="B17" s="1079" t="s">
        <v>346</v>
      </c>
      <c r="C17" s="1160" t="s">
        <v>408</v>
      </c>
      <c r="D17" s="848" t="s">
        <v>439</v>
      </c>
      <c r="E17" s="878"/>
      <c r="F17" s="878"/>
      <c r="G17" s="878"/>
      <c r="H17" s="878"/>
      <c r="I17" s="878"/>
      <c r="J17" s="878"/>
      <c r="K17" s="843"/>
      <c r="L17" s="843"/>
      <c r="M17" s="843"/>
    </row>
    <row r="18" spans="1:13">
      <c r="A18" s="922" t="s">
        <v>1517</v>
      </c>
      <c r="B18" s="898" t="s">
        <v>438</v>
      </c>
      <c r="C18" s="1163" t="s">
        <v>408</v>
      </c>
      <c r="D18" s="846" t="s">
        <v>18</v>
      </c>
      <c r="E18" s="878">
        <v>15</v>
      </c>
      <c r="F18" s="878">
        <v>5</v>
      </c>
      <c r="G18" s="878">
        <v>5</v>
      </c>
      <c r="H18" s="878">
        <v>5</v>
      </c>
      <c r="I18" s="878">
        <v>5</v>
      </c>
      <c r="J18" s="878">
        <v>5</v>
      </c>
      <c r="K18" s="843">
        <f t="shared" si="0"/>
        <v>40</v>
      </c>
      <c r="L18" s="844"/>
      <c r="M18" s="843">
        <f t="shared" si="1"/>
        <v>0</v>
      </c>
    </row>
    <row r="19" spans="1:13">
      <c r="A19" s="922" t="s">
        <v>1518</v>
      </c>
      <c r="B19" s="898" t="s">
        <v>453</v>
      </c>
      <c r="C19" s="1163" t="s">
        <v>408</v>
      </c>
      <c r="D19" s="846" t="s">
        <v>18</v>
      </c>
      <c r="E19" s="878">
        <v>10</v>
      </c>
      <c r="F19" s="878">
        <v>10</v>
      </c>
      <c r="G19" s="878">
        <v>10</v>
      </c>
      <c r="H19" s="878">
        <v>10</v>
      </c>
      <c r="I19" s="878">
        <v>10</v>
      </c>
      <c r="J19" s="878">
        <v>10</v>
      </c>
      <c r="K19" s="843">
        <f t="shared" si="0"/>
        <v>60</v>
      </c>
      <c r="L19" s="844"/>
      <c r="M19" s="843">
        <f t="shared" si="1"/>
        <v>0</v>
      </c>
    </row>
    <row r="20" spans="1:13">
      <c r="A20" s="922" t="s">
        <v>1519</v>
      </c>
      <c r="B20" s="898" t="s">
        <v>599</v>
      </c>
      <c r="C20" s="1163" t="s">
        <v>408</v>
      </c>
      <c r="D20" s="846" t="s">
        <v>18</v>
      </c>
      <c r="E20" s="878">
        <v>80</v>
      </c>
      <c r="F20" s="878">
        <v>40</v>
      </c>
      <c r="G20" s="878">
        <v>15</v>
      </c>
      <c r="H20" s="878">
        <v>10</v>
      </c>
      <c r="I20" s="878">
        <v>10</v>
      </c>
      <c r="J20" s="878">
        <v>10</v>
      </c>
      <c r="K20" s="843">
        <f t="shared" si="0"/>
        <v>165</v>
      </c>
      <c r="L20" s="844"/>
      <c r="M20" s="843">
        <f t="shared" si="1"/>
        <v>0</v>
      </c>
    </row>
    <row r="21" spans="1:13">
      <c r="A21" s="922" t="s">
        <v>1520</v>
      </c>
      <c r="B21" s="898" t="s">
        <v>536</v>
      </c>
      <c r="C21" s="1163" t="s">
        <v>408</v>
      </c>
      <c r="D21" s="846" t="s">
        <v>18</v>
      </c>
      <c r="E21" s="878">
        <v>15</v>
      </c>
      <c r="F21" s="878">
        <v>5</v>
      </c>
      <c r="G21" s="878">
        <v>20</v>
      </c>
      <c r="H21" s="878">
        <v>5</v>
      </c>
      <c r="I21" s="878">
        <v>5</v>
      </c>
      <c r="J21" s="878">
        <v>5</v>
      </c>
      <c r="K21" s="843">
        <f t="shared" si="0"/>
        <v>55</v>
      </c>
      <c r="L21" s="844"/>
      <c r="M21" s="843">
        <f t="shared" si="1"/>
        <v>0</v>
      </c>
    </row>
    <row r="22" spans="1:13">
      <c r="A22" s="922" t="s">
        <v>1521</v>
      </c>
      <c r="B22" s="898" t="s">
        <v>454</v>
      </c>
      <c r="C22" s="1163" t="s">
        <v>408</v>
      </c>
      <c r="D22" s="846" t="s">
        <v>18</v>
      </c>
      <c r="E22" s="878">
        <v>5</v>
      </c>
      <c r="F22" s="878">
        <v>5</v>
      </c>
      <c r="G22" s="878">
        <v>5</v>
      </c>
      <c r="H22" s="878">
        <v>5</v>
      </c>
      <c r="I22" s="878">
        <v>5</v>
      </c>
      <c r="J22" s="878">
        <v>5</v>
      </c>
      <c r="K22" s="843">
        <f t="shared" si="0"/>
        <v>30</v>
      </c>
      <c r="L22" s="844"/>
      <c r="M22" s="843">
        <f t="shared" si="1"/>
        <v>0</v>
      </c>
    </row>
    <row r="23" spans="1:13">
      <c r="A23" s="922" t="s">
        <v>1522</v>
      </c>
      <c r="B23" s="898" t="s">
        <v>455</v>
      </c>
      <c r="C23" s="1163" t="s">
        <v>408</v>
      </c>
      <c r="D23" s="846" t="s">
        <v>18</v>
      </c>
      <c r="E23" s="878">
        <v>5</v>
      </c>
      <c r="F23" s="878">
        <v>5</v>
      </c>
      <c r="G23" s="878">
        <v>5</v>
      </c>
      <c r="H23" s="878">
        <v>5</v>
      </c>
      <c r="I23" s="878">
        <v>5</v>
      </c>
      <c r="J23" s="878">
        <v>5</v>
      </c>
      <c r="K23" s="843">
        <f t="shared" si="0"/>
        <v>30</v>
      </c>
      <c r="L23" s="844"/>
      <c r="M23" s="843">
        <f t="shared" si="1"/>
        <v>0</v>
      </c>
    </row>
    <row r="24" spans="1:13">
      <c r="A24" s="922" t="s">
        <v>1523</v>
      </c>
      <c r="B24" s="898" t="s">
        <v>456</v>
      </c>
      <c r="C24" s="1163" t="s">
        <v>408</v>
      </c>
      <c r="D24" s="846" t="s">
        <v>18</v>
      </c>
      <c r="E24" s="878">
        <v>80</v>
      </c>
      <c r="F24" s="878">
        <v>20</v>
      </c>
      <c r="G24" s="878">
        <v>56</v>
      </c>
      <c r="H24" s="878">
        <v>10</v>
      </c>
      <c r="I24" s="878">
        <v>10</v>
      </c>
      <c r="J24" s="878">
        <v>10</v>
      </c>
      <c r="K24" s="843">
        <f t="shared" si="0"/>
        <v>186</v>
      </c>
      <c r="L24" s="844"/>
      <c r="M24" s="843">
        <f t="shared" si="1"/>
        <v>0</v>
      </c>
    </row>
    <row r="25" spans="1:13">
      <c r="A25" s="922" t="s">
        <v>1524</v>
      </c>
      <c r="B25" s="898" t="s">
        <v>695</v>
      </c>
      <c r="C25" s="1163" t="s">
        <v>408</v>
      </c>
      <c r="D25" s="846" t="s">
        <v>18</v>
      </c>
      <c r="E25" s="878">
        <v>20</v>
      </c>
      <c r="F25" s="878">
        <v>20</v>
      </c>
      <c r="G25" s="878">
        <v>20</v>
      </c>
      <c r="H25" s="878">
        <v>20</v>
      </c>
      <c r="I25" s="878">
        <v>20</v>
      </c>
      <c r="J25" s="878">
        <v>20</v>
      </c>
      <c r="K25" s="843">
        <f t="shared" si="0"/>
        <v>120</v>
      </c>
      <c r="L25" s="844"/>
      <c r="M25" s="843">
        <f t="shared" si="1"/>
        <v>0</v>
      </c>
    </row>
    <row r="26" spans="1:13">
      <c r="A26" s="922" t="s">
        <v>1525</v>
      </c>
      <c r="B26" s="898" t="s">
        <v>696</v>
      </c>
      <c r="C26" s="1163" t="s">
        <v>408</v>
      </c>
      <c r="D26" s="846" t="s">
        <v>18</v>
      </c>
      <c r="E26" s="878">
        <v>10</v>
      </c>
      <c r="F26" s="878">
        <v>10</v>
      </c>
      <c r="G26" s="878">
        <v>10</v>
      </c>
      <c r="H26" s="878">
        <v>10</v>
      </c>
      <c r="I26" s="878">
        <v>10</v>
      </c>
      <c r="J26" s="878">
        <v>10</v>
      </c>
      <c r="K26" s="843">
        <f t="shared" si="0"/>
        <v>60</v>
      </c>
      <c r="L26" s="844"/>
      <c r="M26" s="843">
        <f t="shared" si="1"/>
        <v>0</v>
      </c>
    </row>
    <row r="27" spans="1:13">
      <c r="A27" s="922" t="s">
        <v>1526</v>
      </c>
      <c r="B27" s="898" t="s">
        <v>459</v>
      </c>
      <c r="C27" s="1163" t="s">
        <v>408</v>
      </c>
      <c r="D27" s="846" t="s">
        <v>18</v>
      </c>
      <c r="E27" s="878">
        <v>5</v>
      </c>
      <c r="F27" s="878">
        <v>1</v>
      </c>
      <c r="G27" s="878">
        <v>1</v>
      </c>
      <c r="H27" s="878"/>
      <c r="I27" s="878"/>
      <c r="J27" s="878"/>
      <c r="K27" s="843">
        <f t="shared" si="0"/>
        <v>7</v>
      </c>
      <c r="L27" s="844"/>
      <c r="M27" s="843">
        <f t="shared" si="1"/>
        <v>0</v>
      </c>
    </row>
    <row r="28" spans="1:13">
      <c r="A28" s="922" t="s">
        <v>1527</v>
      </c>
      <c r="B28" s="898" t="s">
        <v>835</v>
      </c>
      <c r="C28" s="1163" t="s">
        <v>408</v>
      </c>
      <c r="D28" s="846" t="s">
        <v>18</v>
      </c>
      <c r="E28" s="878">
        <v>1</v>
      </c>
      <c r="F28" s="878">
        <v>1</v>
      </c>
      <c r="G28" s="878">
        <v>1</v>
      </c>
      <c r="H28" s="878">
        <v>1</v>
      </c>
      <c r="I28" s="878">
        <v>1</v>
      </c>
      <c r="J28" s="878">
        <v>1</v>
      </c>
      <c r="K28" s="843">
        <f t="shared" si="0"/>
        <v>6</v>
      </c>
      <c r="L28" s="844"/>
      <c r="M28" s="843">
        <f t="shared" si="1"/>
        <v>0</v>
      </c>
    </row>
    <row r="29" spans="1:13">
      <c r="A29" s="921" t="s">
        <v>1031</v>
      </c>
      <c r="B29" s="1081" t="s">
        <v>385</v>
      </c>
      <c r="C29" s="1160" t="s">
        <v>406</v>
      </c>
      <c r="D29" s="848"/>
      <c r="E29" s="878"/>
      <c r="F29" s="878"/>
      <c r="G29" s="878"/>
      <c r="H29" s="878"/>
      <c r="I29" s="878"/>
      <c r="J29" s="878"/>
      <c r="K29" s="843"/>
      <c r="L29" s="843"/>
      <c r="M29" s="843"/>
    </row>
    <row r="30" spans="1:13">
      <c r="A30" s="922" t="s">
        <v>1032</v>
      </c>
      <c r="B30" s="1054" t="s">
        <v>460</v>
      </c>
      <c r="C30" s="1163" t="s">
        <v>436</v>
      </c>
      <c r="D30" s="846"/>
      <c r="E30" s="878"/>
      <c r="F30" s="878"/>
      <c r="G30" s="878">
        <v>10</v>
      </c>
      <c r="H30" s="878"/>
      <c r="I30" s="878"/>
      <c r="J30" s="878"/>
      <c r="K30" s="843">
        <f t="shared" si="0"/>
        <v>10</v>
      </c>
      <c r="L30" s="844"/>
      <c r="M30" s="843">
        <f t="shared" si="1"/>
        <v>0</v>
      </c>
    </row>
    <row r="31" spans="1:13">
      <c r="A31" s="922" t="s">
        <v>1528</v>
      </c>
      <c r="B31" s="1054" t="s">
        <v>702</v>
      </c>
      <c r="C31" s="1164"/>
      <c r="D31" s="846"/>
      <c r="E31" s="878"/>
      <c r="F31" s="878"/>
      <c r="G31" s="878"/>
      <c r="H31" s="878"/>
      <c r="I31" s="878"/>
      <c r="J31" s="878"/>
      <c r="K31" s="843"/>
      <c r="L31" s="843"/>
      <c r="M31" s="843"/>
    </row>
    <row r="32" spans="1:13">
      <c r="A32" s="922" t="s">
        <v>1529</v>
      </c>
      <c r="B32" s="933" t="s">
        <v>2741</v>
      </c>
      <c r="C32" s="1164" t="s">
        <v>437</v>
      </c>
      <c r="D32" s="846" t="s">
        <v>18</v>
      </c>
      <c r="E32" s="878">
        <v>11</v>
      </c>
      <c r="F32" s="878">
        <v>13</v>
      </c>
      <c r="G32" s="878">
        <v>1</v>
      </c>
      <c r="H32" s="878"/>
      <c r="I32" s="878"/>
      <c r="J32" s="878"/>
      <c r="K32" s="843">
        <f t="shared" si="0"/>
        <v>25</v>
      </c>
      <c r="L32" s="844"/>
      <c r="M32" s="843">
        <f t="shared" si="1"/>
        <v>0</v>
      </c>
    </row>
    <row r="33" spans="1:13">
      <c r="A33" s="922" t="s">
        <v>1530</v>
      </c>
      <c r="B33" s="933" t="s">
        <v>2742</v>
      </c>
      <c r="C33" s="1164" t="s">
        <v>437</v>
      </c>
      <c r="D33" s="846" t="s">
        <v>18</v>
      </c>
      <c r="E33" s="878">
        <v>44</v>
      </c>
      <c r="F33" s="878">
        <v>26</v>
      </c>
      <c r="G33" s="878">
        <v>1</v>
      </c>
      <c r="H33" s="878"/>
      <c r="I33" s="878"/>
      <c r="J33" s="878"/>
      <c r="K33" s="843">
        <f t="shared" si="0"/>
        <v>71</v>
      </c>
      <c r="L33" s="844"/>
      <c r="M33" s="843">
        <f t="shared" si="1"/>
        <v>0</v>
      </c>
    </row>
    <row r="34" spans="1:13">
      <c r="A34" s="922" t="s">
        <v>1531</v>
      </c>
      <c r="B34" s="933" t="s">
        <v>2743</v>
      </c>
      <c r="C34" s="1164" t="s">
        <v>437</v>
      </c>
      <c r="D34" s="846" t="s">
        <v>18</v>
      </c>
      <c r="E34" s="878">
        <v>18</v>
      </c>
      <c r="F34" s="878">
        <v>26</v>
      </c>
      <c r="G34" s="878">
        <v>1</v>
      </c>
      <c r="H34" s="878"/>
      <c r="I34" s="878"/>
      <c r="J34" s="878"/>
      <c r="K34" s="843">
        <f t="shared" si="0"/>
        <v>45</v>
      </c>
      <c r="L34" s="844"/>
      <c r="M34" s="843">
        <f t="shared" si="1"/>
        <v>0</v>
      </c>
    </row>
    <row r="35" spans="1:13">
      <c r="A35" s="922" t="s">
        <v>1532</v>
      </c>
      <c r="B35" s="898" t="s">
        <v>2744</v>
      </c>
      <c r="C35" s="1164" t="s">
        <v>437</v>
      </c>
      <c r="D35" s="846" t="s">
        <v>18</v>
      </c>
      <c r="E35" s="878"/>
      <c r="F35" s="878"/>
      <c r="G35" s="878">
        <v>2</v>
      </c>
      <c r="H35" s="878"/>
      <c r="I35" s="878"/>
      <c r="J35" s="878"/>
      <c r="K35" s="843">
        <f t="shared" si="0"/>
        <v>2</v>
      </c>
      <c r="L35" s="844"/>
      <c r="M35" s="843">
        <f t="shared" si="1"/>
        <v>0</v>
      </c>
    </row>
    <row r="36" spans="1:13">
      <c r="A36" s="922" t="s">
        <v>1533</v>
      </c>
      <c r="B36" s="1054" t="s">
        <v>858</v>
      </c>
      <c r="C36" s="1164"/>
      <c r="D36" s="846"/>
      <c r="E36" s="878"/>
      <c r="F36" s="878"/>
      <c r="G36" s="878"/>
      <c r="H36" s="878"/>
      <c r="I36" s="878"/>
      <c r="J36" s="878"/>
      <c r="K36" s="843"/>
      <c r="L36" s="843"/>
      <c r="M36" s="843"/>
    </row>
    <row r="37" spans="1:13">
      <c r="A37" s="922" t="s">
        <v>1534</v>
      </c>
      <c r="B37" s="933" t="s">
        <v>2745</v>
      </c>
      <c r="C37" s="1164" t="s">
        <v>437</v>
      </c>
      <c r="D37" s="846" t="s">
        <v>18</v>
      </c>
      <c r="E37" s="878">
        <v>5</v>
      </c>
      <c r="F37" s="878">
        <v>8</v>
      </c>
      <c r="G37" s="878">
        <v>13</v>
      </c>
      <c r="H37" s="878"/>
      <c r="I37" s="878"/>
      <c r="J37" s="878"/>
      <c r="K37" s="843">
        <f t="shared" si="0"/>
        <v>26</v>
      </c>
      <c r="L37" s="844"/>
      <c r="M37" s="843">
        <f t="shared" si="1"/>
        <v>0</v>
      </c>
    </row>
    <row r="38" spans="1:13">
      <c r="A38" s="922" t="s">
        <v>1535</v>
      </c>
      <c r="B38" s="933" t="s">
        <v>2746</v>
      </c>
      <c r="C38" s="1164" t="s">
        <v>437</v>
      </c>
      <c r="D38" s="846" t="s">
        <v>18</v>
      </c>
      <c r="E38" s="878">
        <v>19</v>
      </c>
      <c r="F38" s="878">
        <v>16</v>
      </c>
      <c r="G38" s="878">
        <v>11</v>
      </c>
      <c r="H38" s="878"/>
      <c r="I38" s="878"/>
      <c r="J38" s="878"/>
      <c r="K38" s="843">
        <f t="shared" si="0"/>
        <v>46</v>
      </c>
      <c r="L38" s="844"/>
      <c r="M38" s="843">
        <f t="shared" si="1"/>
        <v>0</v>
      </c>
    </row>
    <row r="39" spans="1:13">
      <c r="A39" s="922" t="s">
        <v>1536</v>
      </c>
      <c r="B39" s="933" t="s">
        <v>2747</v>
      </c>
      <c r="C39" s="1164" t="s">
        <v>437</v>
      </c>
      <c r="D39" s="846" t="s">
        <v>18</v>
      </c>
      <c r="E39" s="878">
        <v>8</v>
      </c>
      <c r="F39" s="878">
        <v>16</v>
      </c>
      <c r="G39" s="878">
        <v>7</v>
      </c>
      <c r="H39" s="878"/>
      <c r="I39" s="878"/>
      <c r="J39" s="878"/>
      <c r="K39" s="843">
        <f t="shared" si="0"/>
        <v>31</v>
      </c>
      <c r="L39" s="844"/>
      <c r="M39" s="843">
        <f t="shared" si="1"/>
        <v>0</v>
      </c>
    </row>
    <row r="40" spans="1:13">
      <c r="A40" s="922" t="s">
        <v>1537</v>
      </c>
      <c r="B40" s="933" t="s">
        <v>2748</v>
      </c>
      <c r="C40" s="1164" t="s">
        <v>437</v>
      </c>
      <c r="D40" s="846" t="s">
        <v>18</v>
      </c>
      <c r="E40" s="878"/>
      <c r="F40" s="878"/>
      <c r="G40" s="878">
        <v>4</v>
      </c>
      <c r="H40" s="878"/>
      <c r="I40" s="878"/>
      <c r="J40" s="878"/>
      <c r="K40" s="843">
        <f t="shared" si="0"/>
        <v>4</v>
      </c>
      <c r="L40" s="844"/>
      <c r="M40" s="843">
        <f t="shared" si="1"/>
        <v>0</v>
      </c>
    </row>
    <row r="41" spans="1:13">
      <c r="A41" s="922" t="s">
        <v>1538</v>
      </c>
      <c r="B41" s="1054" t="s">
        <v>859</v>
      </c>
      <c r="C41" s="1164"/>
      <c r="D41" s="846"/>
      <c r="E41" s="878"/>
      <c r="F41" s="878"/>
      <c r="G41" s="878"/>
      <c r="H41" s="878"/>
      <c r="I41" s="878"/>
      <c r="J41" s="878"/>
      <c r="K41" s="843"/>
      <c r="L41" s="843"/>
      <c r="M41" s="843"/>
    </row>
    <row r="42" spans="1:13">
      <c r="A42" s="922" t="s">
        <v>1539</v>
      </c>
      <c r="B42" s="933" t="s">
        <v>2749</v>
      </c>
      <c r="C42" s="1164" t="s">
        <v>437</v>
      </c>
      <c r="D42" s="846" t="s">
        <v>18</v>
      </c>
      <c r="E42" s="878"/>
      <c r="F42" s="878"/>
      <c r="G42" s="878">
        <v>1</v>
      </c>
      <c r="H42" s="878"/>
      <c r="I42" s="878"/>
      <c r="J42" s="878"/>
      <c r="K42" s="843">
        <f t="shared" si="0"/>
        <v>1</v>
      </c>
      <c r="L42" s="844"/>
      <c r="M42" s="843">
        <f t="shared" si="1"/>
        <v>0</v>
      </c>
    </row>
    <row r="43" spans="1:13">
      <c r="A43" s="922" t="s">
        <v>1540</v>
      </c>
      <c r="B43" s="933" t="s">
        <v>2750</v>
      </c>
      <c r="C43" s="1164" t="s">
        <v>437</v>
      </c>
      <c r="D43" s="846" t="s">
        <v>18</v>
      </c>
      <c r="E43" s="878"/>
      <c r="F43" s="878"/>
      <c r="G43" s="878">
        <v>1</v>
      </c>
      <c r="H43" s="878"/>
      <c r="I43" s="878"/>
      <c r="J43" s="878"/>
      <c r="K43" s="843">
        <f t="shared" si="0"/>
        <v>1</v>
      </c>
      <c r="L43" s="844"/>
      <c r="M43" s="843">
        <f t="shared" si="1"/>
        <v>0</v>
      </c>
    </row>
    <row r="44" spans="1:13">
      <c r="A44" s="922" t="s">
        <v>1541</v>
      </c>
      <c r="B44" s="933" t="s">
        <v>2751</v>
      </c>
      <c r="C44" s="1164" t="s">
        <v>437</v>
      </c>
      <c r="D44" s="846" t="s">
        <v>18</v>
      </c>
      <c r="E44" s="878"/>
      <c r="F44" s="878"/>
      <c r="G44" s="878">
        <v>2</v>
      </c>
      <c r="H44" s="878"/>
      <c r="I44" s="878"/>
      <c r="J44" s="878"/>
      <c r="K44" s="843">
        <f t="shared" si="0"/>
        <v>2</v>
      </c>
      <c r="L44" s="844"/>
      <c r="M44" s="843">
        <f t="shared" si="1"/>
        <v>0</v>
      </c>
    </row>
    <row r="45" spans="1:13" ht="28.5">
      <c r="A45" s="922" t="s">
        <v>1542</v>
      </c>
      <c r="B45" s="1082" t="s">
        <v>473</v>
      </c>
      <c r="C45" s="1164" t="s">
        <v>465</v>
      </c>
      <c r="D45" s="846" t="s">
        <v>18</v>
      </c>
      <c r="E45" s="878"/>
      <c r="F45" s="878"/>
      <c r="G45" s="878">
        <v>1</v>
      </c>
      <c r="H45" s="878"/>
      <c r="I45" s="878"/>
      <c r="J45" s="878"/>
      <c r="K45" s="843">
        <f t="shared" si="0"/>
        <v>1</v>
      </c>
      <c r="L45" s="844"/>
      <c r="M45" s="843">
        <f t="shared" si="1"/>
        <v>0</v>
      </c>
    </row>
    <row r="46" spans="1:13">
      <c r="A46" s="922" t="s">
        <v>1543</v>
      </c>
      <c r="B46" s="1083" t="s">
        <v>542</v>
      </c>
      <c r="C46" s="1160"/>
      <c r="D46" s="848"/>
      <c r="E46" s="878"/>
      <c r="F46" s="878"/>
      <c r="G46" s="878"/>
      <c r="H46" s="878"/>
      <c r="I46" s="878"/>
      <c r="J46" s="878"/>
      <c r="K46" s="843"/>
      <c r="L46" s="843"/>
      <c r="M46" s="843"/>
    </row>
    <row r="47" spans="1:13">
      <c r="A47" s="922" t="s">
        <v>1544</v>
      </c>
      <c r="B47" s="1007" t="s">
        <v>600</v>
      </c>
      <c r="C47" s="1165" t="s">
        <v>545</v>
      </c>
      <c r="D47" s="849" t="s">
        <v>18</v>
      </c>
      <c r="E47" s="878">
        <v>3</v>
      </c>
      <c r="F47" s="878">
        <v>4</v>
      </c>
      <c r="G47" s="878">
        <v>5</v>
      </c>
      <c r="H47" s="878"/>
      <c r="I47" s="878"/>
      <c r="J47" s="878"/>
      <c r="K47" s="843">
        <f t="shared" si="0"/>
        <v>12</v>
      </c>
      <c r="L47" s="844"/>
      <c r="M47" s="843">
        <f t="shared" si="1"/>
        <v>0</v>
      </c>
    </row>
    <row r="48" spans="1:13">
      <c r="A48" s="922" t="s">
        <v>1545</v>
      </c>
      <c r="B48" s="1007" t="s">
        <v>601</v>
      </c>
      <c r="C48" s="1165" t="s">
        <v>545</v>
      </c>
      <c r="D48" s="849" t="s">
        <v>18</v>
      </c>
      <c r="E48" s="878">
        <v>3</v>
      </c>
      <c r="F48" s="878">
        <v>4</v>
      </c>
      <c r="G48" s="878">
        <v>5</v>
      </c>
      <c r="H48" s="878"/>
      <c r="I48" s="878"/>
      <c r="J48" s="878"/>
      <c r="K48" s="843">
        <f t="shared" si="0"/>
        <v>12</v>
      </c>
      <c r="L48" s="844"/>
      <c r="M48" s="843">
        <f t="shared" si="1"/>
        <v>0</v>
      </c>
    </row>
    <row r="49" spans="1:13">
      <c r="A49" s="922" t="s">
        <v>1546</v>
      </c>
      <c r="B49" s="1007" t="s">
        <v>602</v>
      </c>
      <c r="C49" s="1165" t="s">
        <v>545</v>
      </c>
      <c r="D49" s="849" t="s">
        <v>18</v>
      </c>
      <c r="E49" s="878"/>
      <c r="F49" s="878">
        <v>2</v>
      </c>
      <c r="G49" s="878">
        <v>5</v>
      </c>
      <c r="H49" s="878"/>
      <c r="I49" s="878"/>
      <c r="J49" s="878"/>
      <c r="K49" s="843">
        <f t="shared" si="0"/>
        <v>7</v>
      </c>
      <c r="L49" s="844"/>
      <c r="M49" s="843">
        <f t="shared" si="1"/>
        <v>0</v>
      </c>
    </row>
    <row r="50" spans="1:13">
      <c r="A50" s="921" t="s">
        <v>1033</v>
      </c>
      <c r="B50" s="1054" t="s">
        <v>707</v>
      </c>
      <c r="C50" s="1163"/>
      <c r="D50" s="846"/>
      <c r="E50" s="878"/>
      <c r="F50" s="878"/>
      <c r="G50" s="878"/>
      <c r="H50" s="878"/>
      <c r="I50" s="878"/>
      <c r="J50" s="878"/>
      <c r="K50" s="843"/>
      <c r="L50" s="843"/>
      <c r="M50" s="843"/>
    </row>
    <row r="51" spans="1:13">
      <c r="A51" s="922" t="s">
        <v>1034</v>
      </c>
      <c r="B51" s="898" t="s">
        <v>945</v>
      </c>
      <c r="C51" s="1163" t="s">
        <v>430</v>
      </c>
      <c r="D51" s="846" t="s">
        <v>18</v>
      </c>
      <c r="E51" s="878">
        <v>3</v>
      </c>
      <c r="F51" s="878"/>
      <c r="G51" s="878">
        <v>18</v>
      </c>
      <c r="H51" s="878"/>
      <c r="I51" s="878"/>
      <c r="J51" s="878"/>
      <c r="K51" s="843">
        <f t="shared" si="0"/>
        <v>21</v>
      </c>
      <c r="L51" s="844"/>
      <c r="M51" s="843">
        <f t="shared" si="1"/>
        <v>0</v>
      </c>
    </row>
    <row r="52" spans="1:13">
      <c r="A52" s="922" t="s">
        <v>1547</v>
      </c>
      <c r="B52" s="898" t="s">
        <v>946</v>
      </c>
      <c r="C52" s="1163" t="s">
        <v>430</v>
      </c>
      <c r="D52" s="846" t="s">
        <v>18</v>
      </c>
      <c r="E52" s="878">
        <v>8</v>
      </c>
      <c r="F52" s="878">
        <v>4</v>
      </c>
      <c r="G52" s="878">
        <v>6</v>
      </c>
      <c r="H52" s="878"/>
      <c r="I52" s="878"/>
      <c r="J52" s="878"/>
      <c r="K52" s="843">
        <f t="shared" ref="K52:K82" si="2">SUM(E52:J52)</f>
        <v>18</v>
      </c>
      <c r="L52" s="844"/>
      <c r="M52" s="843">
        <f t="shared" ref="M52:M89" si="3">K52*L52</f>
        <v>0</v>
      </c>
    </row>
    <row r="53" spans="1:13">
      <c r="A53" s="922" t="s">
        <v>1548</v>
      </c>
      <c r="B53" s="898" t="s">
        <v>947</v>
      </c>
      <c r="C53" s="1163" t="s">
        <v>430</v>
      </c>
      <c r="D53" s="846" t="s">
        <v>18</v>
      </c>
      <c r="E53" s="878">
        <v>1</v>
      </c>
      <c r="F53" s="878"/>
      <c r="G53" s="878">
        <v>6</v>
      </c>
      <c r="H53" s="878"/>
      <c r="I53" s="878"/>
      <c r="J53" s="878"/>
      <c r="K53" s="843">
        <f t="shared" si="2"/>
        <v>7</v>
      </c>
      <c r="L53" s="844"/>
      <c r="M53" s="843">
        <f t="shared" si="3"/>
        <v>0</v>
      </c>
    </row>
    <row r="54" spans="1:13">
      <c r="A54" s="922" t="s">
        <v>1549</v>
      </c>
      <c r="B54" s="898" t="s">
        <v>948</v>
      </c>
      <c r="C54" s="1163" t="s">
        <v>430</v>
      </c>
      <c r="D54" s="846" t="s">
        <v>18</v>
      </c>
      <c r="E54" s="878">
        <v>1</v>
      </c>
      <c r="F54" s="878"/>
      <c r="G54" s="878"/>
      <c r="H54" s="878"/>
      <c r="I54" s="878"/>
      <c r="J54" s="878"/>
      <c r="K54" s="843">
        <f t="shared" si="2"/>
        <v>1</v>
      </c>
      <c r="L54" s="844"/>
      <c r="M54" s="843">
        <f t="shared" si="3"/>
        <v>0</v>
      </c>
    </row>
    <row r="55" spans="1:13">
      <c r="A55" s="921" t="s">
        <v>1035</v>
      </c>
      <c r="B55" s="1079" t="s">
        <v>539</v>
      </c>
      <c r="C55" s="1160" t="s">
        <v>386</v>
      </c>
      <c r="D55" s="848"/>
      <c r="E55" s="904"/>
      <c r="F55" s="904"/>
      <c r="G55" s="904"/>
      <c r="H55" s="904"/>
      <c r="I55" s="904"/>
      <c r="J55" s="904"/>
      <c r="K55" s="843"/>
      <c r="L55" s="843"/>
      <c r="M55" s="843"/>
    </row>
    <row r="56" spans="1:13" ht="15.75">
      <c r="A56" s="922" t="s">
        <v>1550</v>
      </c>
      <c r="B56" s="898" t="s">
        <v>560</v>
      </c>
      <c r="C56" s="1164"/>
      <c r="D56" s="846" t="s">
        <v>704</v>
      </c>
      <c r="E56" s="892">
        <v>300</v>
      </c>
      <c r="F56" s="892">
        <v>500</v>
      </c>
      <c r="G56" s="892">
        <v>540</v>
      </c>
      <c r="H56" s="892">
        <v>20</v>
      </c>
      <c r="I56" s="892">
        <v>150</v>
      </c>
      <c r="J56" s="892">
        <v>600</v>
      </c>
      <c r="K56" s="843">
        <f t="shared" si="2"/>
        <v>2110</v>
      </c>
      <c r="L56" s="844"/>
      <c r="M56" s="843">
        <f t="shared" si="3"/>
        <v>0</v>
      </c>
    </row>
    <row r="57" spans="1:13">
      <c r="A57" s="922" t="s">
        <v>1551</v>
      </c>
      <c r="B57" s="898" t="s">
        <v>561</v>
      </c>
      <c r="C57" s="1164"/>
      <c r="D57" s="846" t="s">
        <v>18</v>
      </c>
      <c r="E57" s="892">
        <v>5</v>
      </c>
      <c r="F57" s="892">
        <v>10</v>
      </c>
      <c r="G57" s="892">
        <v>5</v>
      </c>
      <c r="H57" s="892">
        <v>1</v>
      </c>
      <c r="I57" s="892">
        <v>5</v>
      </c>
      <c r="J57" s="892">
        <v>12</v>
      </c>
      <c r="K57" s="843">
        <f t="shared" si="2"/>
        <v>38</v>
      </c>
      <c r="L57" s="844"/>
      <c r="M57" s="843">
        <f t="shared" si="3"/>
        <v>0</v>
      </c>
    </row>
    <row r="58" spans="1:13">
      <c r="A58" s="922" t="s">
        <v>1552</v>
      </c>
      <c r="B58" s="898" t="s">
        <v>444</v>
      </c>
      <c r="C58" s="1164"/>
      <c r="D58" s="846" t="s">
        <v>18</v>
      </c>
      <c r="E58" s="892">
        <v>7</v>
      </c>
      <c r="F58" s="892">
        <v>5</v>
      </c>
      <c r="G58" s="892">
        <v>3</v>
      </c>
      <c r="H58" s="892"/>
      <c r="I58" s="892"/>
      <c r="J58" s="892"/>
      <c r="K58" s="843">
        <f t="shared" si="2"/>
        <v>15</v>
      </c>
      <c r="L58" s="844"/>
      <c r="M58" s="843">
        <f t="shared" si="3"/>
        <v>0</v>
      </c>
    </row>
    <row r="59" spans="1:13">
      <c r="A59" s="921" t="s">
        <v>1553</v>
      </c>
      <c r="B59" s="835" t="s">
        <v>910</v>
      </c>
      <c r="C59" s="1162" t="s">
        <v>407</v>
      </c>
      <c r="D59" s="838" t="s">
        <v>18</v>
      </c>
      <c r="E59" s="904"/>
      <c r="F59" s="904"/>
      <c r="G59" s="904"/>
      <c r="H59" s="892">
        <v>1</v>
      </c>
      <c r="I59" s="892">
        <v>1</v>
      </c>
      <c r="J59" s="904"/>
      <c r="K59" s="843">
        <f t="shared" si="2"/>
        <v>2</v>
      </c>
      <c r="L59" s="844"/>
      <c r="M59" s="843">
        <f t="shared" si="3"/>
        <v>0</v>
      </c>
    </row>
    <row r="60" spans="1:13">
      <c r="A60" s="858" t="s">
        <v>366</v>
      </c>
      <c r="B60" s="1080" t="s">
        <v>237</v>
      </c>
      <c r="C60" s="945"/>
      <c r="D60" s="931"/>
      <c r="E60" s="885"/>
      <c r="F60" s="885"/>
      <c r="G60" s="885"/>
      <c r="H60" s="885"/>
      <c r="I60" s="885"/>
      <c r="J60" s="885"/>
      <c r="K60" s="847"/>
      <c r="L60" s="847"/>
      <c r="M60" s="847">
        <f>SUM(M61:M80)</f>
        <v>0</v>
      </c>
    </row>
    <row r="61" spans="1:13">
      <c r="A61" s="923" t="s">
        <v>1009</v>
      </c>
      <c r="B61" s="1079" t="s">
        <v>446</v>
      </c>
      <c r="C61" s="1160" t="s">
        <v>409</v>
      </c>
      <c r="D61" s="848" t="s">
        <v>236</v>
      </c>
      <c r="E61" s="878">
        <v>955</v>
      </c>
      <c r="F61" s="878">
        <v>418</v>
      </c>
      <c r="G61" s="878">
        <v>100</v>
      </c>
      <c r="H61" s="878"/>
      <c r="I61" s="878"/>
      <c r="J61" s="878"/>
      <c r="K61" s="843">
        <f t="shared" si="2"/>
        <v>1473</v>
      </c>
      <c r="L61" s="865"/>
      <c r="M61" s="843">
        <f t="shared" si="3"/>
        <v>0</v>
      </c>
    </row>
    <row r="62" spans="1:13">
      <c r="A62" s="921" t="s">
        <v>1554</v>
      </c>
      <c r="B62" s="835" t="s">
        <v>693</v>
      </c>
      <c r="C62" s="1162" t="s">
        <v>411</v>
      </c>
      <c r="D62" s="838" t="s">
        <v>236</v>
      </c>
      <c r="E62" s="878"/>
      <c r="F62" s="878"/>
      <c r="G62" s="878"/>
      <c r="H62" s="878"/>
      <c r="I62" s="878"/>
      <c r="J62" s="878"/>
      <c r="K62" s="843"/>
      <c r="L62" s="843"/>
      <c r="M62" s="843"/>
    </row>
    <row r="63" spans="1:13">
      <c r="A63" s="922" t="s">
        <v>1555</v>
      </c>
      <c r="B63" s="934" t="s">
        <v>716</v>
      </c>
      <c r="C63" s="1162"/>
      <c r="D63" s="838" t="s">
        <v>236</v>
      </c>
      <c r="E63" s="878">
        <v>14214</v>
      </c>
      <c r="F63" s="878">
        <v>6425</v>
      </c>
      <c r="G63" s="878">
        <v>5540</v>
      </c>
      <c r="H63" s="878">
        <v>280</v>
      </c>
      <c r="I63" s="878">
        <f>750+20</f>
        <v>770</v>
      </c>
      <c r="J63" s="878">
        <f>2200+20*3</f>
        <v>2260</v>
      </c>
      <c r="K63" s="843">
        <f t="shared" si="2"/>
        <v>29489</v>
      </c>
      <c r="L63" s="844"/>
      <c r="M63" s="843">
        <f t="shared" si="3"/>
        <v>0</v>
      </c>
    </row>
    <row r="64" spans="1:13">
      <c r="A64" s="922" t="s">
        <v>1556</v>
      </c>
      <c r="B64" s="934" t="s">
        <v>717</v>
      </c>
      <c r="C64" s="1162"/>
      <c r="D64" s="838" t="s">
        <v>236</v>
      </c>
      <c r="E64" s="878">
        <v>813</v>
      </c>
      <c r="F64" s="878">
        <v>20</v>
      </c>
      <c r="G64" s="878">
        <v>28</v>
      </c>
      <c r="H64" s="878"/>
      <c r="I64" s="878"/>
      <c r="J64" s="878"/>
      <c r="K64" s="843">
        <f t="shared" si="2"/>
        <v>861</v>
      </c>
      <c r="L64" s="844"/>
      <c r="M64" s="843">
        <f t="shared" si="3"/>
        <v>0</v>
      </c>
    </row>
    <row r="65" spans="1:13">
      <c r="A65" s="922" t="s">
        <v>1557</v>
      </c>
      <c r="B65" s="934" t="s">
        <v>718</v>
      </c>
      <c r="C65" s="1162"/>
      <c r="D65" s="838" t="s">
        <v>236</v>
      </c>
      <c r="E65" s="878">
        <v>8</v>
      </c>
      <c r="F65" s="878"/>
      <c r="G65" s="878">
        <v>1</v>
      </c>
      <c r="H65" s="878"/>
      <c r="I65" s="878"/>
      <c r="J65" s="878"/>
      <c r="K65" s="843">
        <f t="shared" si="2"/>
        <v>9</v>
      </c>
      <c r="L65" s="844"/>
      <c r="M65" s="843">
        <f t="shared" si="3"/>
        <v>0</v>
      </c>
    </row>
    <row r="66" spans="1:13">
      <c r="A66" s="922" t="s">
        <v>1558</v>
      </c>
      <c r="B66" s="934" t="s">
        <v>719</v>
      </c>
      <c r="C66" s="1162"/>
      <c r="D66" s="838" t="s">
        <v>236</v>
      </c>
      <c r="E66" s="878">
        <v>1207</v>
      </c>
      <c r="F66" s="878">
        <v>497</v>
      </c>
      <c r="G66" s="878">
        <v>330</v>
      </c>
      <c r="H66" s="878"/>
      <c r="I66" s="878"/>
      <c r="J66" s="878"/>
      <c r="K66" s="843">
        <f t="shared" si="2"/>
        <v>2034</v>
      </c>
      <c r="L66" s="844"/>
      <c r="M66" s="843">
        <f t="shared" si="3"/>
        <v>0</v>
      </c>
    </row>
    <row r="67" spans="1:13">
      <c r="A67" s="922" t="s">
        <v>1559</v>
      </c>
      <c r="B67" s="934" t="s">
        <v>720</v>
      </c>
      <c r="C67" s="1162"/>
      <c r="D67" s="838" t="s">
        <v>236</v>
      </c>
      <c r="E67" s="878">
        <v>200</v>
      </c>
      <c r="F67" s="878">
        <v>98</v>
      </c>
      <c r="G67" s="878">
        <v>101</v>
      </c>
      <c r="H67" s="878"/>
      <c r="I67" s="878"/>
      <c r="J67" s="878"/>
      <c r="K67" s="843">
        <f t="shared" si="2"/>
        <v>399</v>
      </c>
      <c r="L67" s="844"/>
      <c r="M67" s="843">
        <f t="shared" si="3"/>
        <v>0</v>
      </c>
    </row>
    <row r="68" spans="1:13">
      <c r="A68" s="921" t="s">
        <v>1560</v>
      </c>
      <c r="B68" s="835" t="s">
        <v>694</v>
      </c>
      <c r="C68" s="1162" t="s">
        <v>409</v>
      </c>
      <c r="D68" s="838" t="s">
        <v>236</v>
      </c>
      <c r="E68" s="878">
        <v>60</v>
      </c>
      <c r="F68" s="878">
        <v>60</v>
      </c>
      <c r="G68" s="878">
        <v>60</v>
      </c>
      <c r="H68" s="878">
        <v>10</v>
      </c>
      <c r="I68" s="878">
        <v>20</v>
      </c>
      <c r="J68" s="878">
        <v>60</v>
      </c>
      <c r="K68" s="843">
        <f t="shared" si="2"/>
        <v>270</v>
      </c>
      <c r="L68" s="844"/>
      <c r="M68" s="843">
        <f t="shared" si="3"/>
        <v>0</v>
      </c>
    </row>
    <row r="69" spans="1:13">
      <c r="A69" s="921" t="s">
        <v>1561</v>
      </c>
      <c r="B69" s="835" t="s">
        <v>478</v>
      </c>
      <c r="C69" s="1162" t="s">
        <v>2516</v>
      </c>
      <c r="D69" s="838" t="s">
        <v>236</v>
      </c>
      <c r="E69" s="878">
        <v>855</v>
      </c>
      <c r="F69" s="878">
        <v>419</v>
      </c>
      <c r="G69" s="878">
        <v>385</v>
      </c>
      <c r="H69" s="878">
        <v>20</v>
      </c>
      <c r="I69" s="878">
        <v>60</v>
      </c>
      <c r="J69" s="878">
        <v>180</v>
      </c>
      <c r="K69" s="1380">
        <f t="shared" ref="K69" si="4">SUM(E69:J69)</f>
        <v>1919</v>
      </c>
      <c r="L69" s="1381"/>
      <c r="M69" s="1380">
        <f t="shared" ref="M69" si="5">K69*L69</f>
        <v>0</v>
      </c>
    </row>
    <row r="70" spans="1:13">
      <c r="A70" s="921" t="s">
        <v>1562</v>
      </c>
      <c r="B70" s="835" t="s">
        <v>721</v>
      </c>
      <c r="C70" s="1162" t="s">
        <v>2517</v>
      </c>
      <c r="D70" s="838" t="s">
        <v>236</v>
      </c>
      <c r="E70" s="878">
        <v>3909</v>
      </c>
      <c r="F70" s="878">
        <v>1684</v>
      </c>
      <c r="G70" s="878">
        <v>1590</v>
      </c>
      <c r="H70" s="878">
        <v>70</v>
      </c>
      <c r="I70" s="878">
        <v>240</v>
      </c>
      <c r="J70" s="878">
        <v>580</v>
      </c>
      <c r="K70" s="843">
        <f>SUM(E70:J70)</f>
        <v>8073</v>
      </c>
      <c r="L70" s="844"/>
      <c r="M70" s="843">
        <f>K70*L70</f>
        <v>0</v>
      </c>
    </row>
    <row r="71" spans="1:13">
      <c r="A71" s="921" t="s">
        <v>1563</v>
      </c>
      <c r="B71" s="835" t="s">
        <v>749</v>
      </c>
      <c r="C71" s="1162" t="s">
        <v>376</v>
      </c>
      <c r="D71" s="838" t="s">
        <v>234</v>
      </c>
      <c r="E71" s="878">
        <v>16</v>
      </c>
      <c r="F71" s="878"/>
      <c r="G71" s="878">
        <v>30</v>
      </c>
      <c r="H71" s="878"/>
      <c r="I71" s="878"/>
      <c r="J71" s="878"/>
      <c r="K71" s="843">
        <f t="shared" si="2"/>
        <v>46</v>
      </c>
      <c r="L71" s="844"/>
      <c r="M71" s="843">
        <f t="shared" si="3"/>
        <v>0</v>
      </c>
    </row>
    <row r="72" spans="1:13">
      <c r="A72" s="921" t="s">
        <v>1564</v>
      </c>
      <c r="B72" s="835" t="s">
        <v>2518</v>
      </c>
      <c r="C72" s="1166" t="s">
        <v>377</v>
      </c>
      <c r="D72" s="838" t="s">
        <v>236</v>
      </c>
      <c r="E72" s="878"/>
      <c r="F72" s="878"/>
      <c r="G72" s="878"/>
      <c r="H72" s="878"/>
      <c r="I72" s="878">
        <v>0.5</v>
      </c>
      <c r="J72" s="878">
        <f>550+0.4*3</f>
        <v>551.20000000000005</v>
      </c>
      <c r="K72" s="1380">
        <f t="shared" ref="K72" si="6">SUM(E72:J72)</f>
        <v>551.70000000000005</v>
      </c>
      <c r="L72" s="1381"/>
      <c r="M72" s="1380">
        <f t="shared" ref="M72" si="7">K72*L72</f>
        <v>0</v>
      </c>
    </row>
    <row r="73" spans="1:13">
      <c r="A73" s="921" t="s">
        <v>1565</v>
      </c>
      <c r="B73" s="835" t="s">
        <v>722</v>
      </c>
      <c r="C73" s="1166" t="s">
        <v>390</v>
      </c>
      <c r="D73" s="838" t="s">
        <v>236</v>
      </c>
      <c r="E73" s="878">
        <v>4709</v>
      </c>
      <c r="F73" s="878">
        <v>2554</v>
      </c>
      <c r="G73" s="878">
        <v>2703</v>
      </c>
      <c r="H73" s="845">
        <v>160</v>
      </c>
      <c r="I73" s="845">
        <v>520</v>
      </c>
      <c r="J73" s="845">
        <v>1350</v>
      </c>
      <c r="K73" s="843">
        <f t="shared" si="2"/>
        <v>11996</v>
      </c>
      <c r="L73" s="844"/>
      <c r="M73" s="843">
        <f t="shared" si="3"/>
        <v>0</v>
      </c>
    </row>
    <row r="74" spans="1:13">
      <c r="A74" s="921" t="s">
        <v>1566</v>
      </c>
      <c r="B74" s="835" t="s">
        <v>551</v>
      </c>
      <c r="C74" s="1162" t="s">
        <v>389</v>
      </c>
      <c r="D74" s="838" t="s">
        <v>236</v>
      </c>
      <c r="E74" s="892">
        <v>6032</v>
      </c>
      <c r="F74" s="892">
        <v>2159</v>
      </c>
      <c r="G74" s="892">
        <v>1150</v>
      </c>
      <c r="I74" s="892">
        <v>10</v>
      </c>
      <c r="J74" s="892">
        <f>10*3</f>
        <v>30</v>
      </c>
      <c r="K74" s="843">
        <f t="shared" si="2"/>
        <v>9381</v>
      </c>
      <c r="L74" s="844"/>
      <c r="M74" s="843">
        <f t="shared" si="3"/>
        <v>0</v>
      </c>
    </row>
    <row r="75" spans="1:13">
      <c r="A75" s="921" t="s">
        <v>1567</v>
      </c>
      <c r="B75" s="1079" t="s">
        <v>543</v>
      </c>
      <c r="C75" s="1160" t="s">
        <v>391</v>
      </c>
      <c r="D75" s="848" t="s">
        <v>236</v>
      </c>
      <c r="E75" s="878">
        <v>600</v>
      </c>
      <c r="F75" s="878">
        <v>218</v>
      </c>
      <c r="G75" s="878">
        <v>80</v>
      </c>
      <c r="H75" s="878"/>
      <c r="I75" s="878"/>
      <c r="J75" s="878"/>
      <c r="K75" s="843">
        <f t="shared" si="2"/>
        <v>898</v>
      </c>
      <c r="L75" s="844"/>
      <c r="M75" s="843">
        <f t="shared" si="3"/>
        <v>0</v>
      </c>
    </row>
    <row r="76" spans="1:13">
      <c r="A76" s="921" t="s">
        <v>1568</v>
      </c>
      <c r="B76" s="1079" t="s">
        <v>581</v>
      </c>
      <c r="C76" s="1160" t="s">
        <v>391</v>
      </c>
      <c r="D76" s="848" t="s">
        <v>236</v>
      </c>
      <c r="E76" s="878">
        <v>355</v>
      </c>
      <c r="F76" s="878">
        <v>200</v>
      </c>
      <c r="G76" s="878">
        <v>20</v>
      </c>
      <c r="H76" s="878"/>
      <c r="I76" s="878"/>
      <c r="J76" s="878"/>
      <c r="K76" s="843">
        <f t="shared" si="2"/>
        <v>575</v>
      </c>
      <c r="L76" s="844"/>
      <c r="M76" s="843">
        <f t="shared" si="3"/>
        <v>0</v>
      </c>
    </row>
    <row r="77" spans="1:13">
      <c r="A77" s="921" t="s">
        <v>1569</v>
      </c>
      <c r="B77" s="835" t="s">
        <v>741</v>
      </c>
      <c r="C77" s="1162" t="s">
        <v>2519</v>
      </c>
      <c r="D77" s="838" t="s">
        <v>236</v>
      </c>
      <c r="E77" s="878">
        <f>8+1+68</f>
        <v>77</v>
      </c>
      <c r="F77" s="878">
        <f>4+1+34</f>
        <v>39</v>
      </c>
      <c r="G77" s="878">
        <f>4+1+32</f>
        <v>37</v>
      </c>
      <c r="H77" s="878"/>
      <c r="I77" s="878"/>
      <c r="J77" s="878"/>
      <c r="K77" s="1380">
        <f t="shared" ref="K77" si="8">SUM(E77:J77)</f>
        <v>153</v>
      </c>
      <c r="L77" s="1381"/>
      <c r="M77" s="1380">
        <f t="shared" ref="M77" si="9">K77*L77</f>
        <v>0</v>
      </c>
    </row>
    <row r="78" spans="1:13">
      <c r="A78" s="921" t="s">
        <v>1570</v>
      </c>
      <c r="B78" s="835" t="s">
        <v>653</v>
      </c>
      <c r="C78" s="1162" t="s">
        <v>419</v>
      </c>
      <c r="D78" s="838" t="s">
        <v>11</v>
      </c>
      <c r="E78" s="878"/>
      <c r="F78" s="878"/>
      <c r="G78" s="878"/>
      <c r="H78" s="878">
        <v>222.35</v>
      </c>
      <c r="I78" s="878">
        <v>769</v>
      </c>
      <c r="J78" s="878">
        <v>1905</v>
      </c>
      <c r="K78" s="843">
        <f t="shared" si="2"/>
        <v>2896.35</v>
      </c>
      <c r="L78" s="844"/>
      <c r="M78" s="843">
        <f t="shared" si="3"/>
        <v>0</v>
      </c>
    </row>
    <row r="79" spans="1:13">
      <c r="A79" s="921" t="s">
        <v>1571</v>
      </c>
      <c r="B79" s="835" t="s">
        <v>913</v>
      </c>
      <c r="C79" s="1162" t="s">
        <v>2520</v>
      </c>
      <c r="D79" s="838" t="s">
        <v>11</v>
      </c>
      <c r="E79" s="878"/>
      <c r="F79" s="878"/>
      <c r="G79" s="878"/>
      <c r="H79" s="878">
        <v>222.35</v>
      </c>
      <c r="I79" s="878">
        <v>769</v>
      </c>
      <c r="J79" s="878">
        <v>155</v>
      </c>
      <c r="K79" s="843">
        <f t="shared" si="2"/>
        <v>1146.3499999999999</v>
      </c>
      <c r="L79" s="844"/>
      <c r="M79" s="843">
        <f t="shared" si="3"/>
        <v>0</v>
      </c>
    </row>
    <row r="80" spans="1:13">
      <c r="A80" s="921" t="s">
        <v>1572</v>
      </c>
      <c r="B80" s="1079" t="s">
        <v>2521</v>
      </c>
      <c r="C80" s="1162" t="s">
        <v>418</v>
      </c>
      <c r="D80" s="838" t="s">
        <v>236</v>
      </c>
      <c r="E80" s="878">
        <v>11126</v>
      </c>
      <c r="F80" s="878">
        <v>5400</v>
      </c>
      <c r="G80" s="878">
        <v>5000</v>
      </c>
      <c r="H80" s="878">
        <v>90</v>
      </c>
      <c r="I80" s="878">
        <f>350+10</f>
        <v>360</v>
      </c>
      <c r="J80" s="878">
        <f>850+10*3</f>
        <v>880</v>
      </c>
      <c r="K80" s="843">
        <f t="shared" si="2"/>
        <v>22856</v>
      </c>
      <c r="L80" s="844"/>
      <c r="M80" s="843">
        <f t="shared" si="3"/>
        <v>0</v>
      </c>
    </row>
    <row r="81" spans="1:13">
      <c r="A81" s="858" t="s">
        <v>367</v>
      </c>
      <c r="B81" s="1080" t="s">
        <v>929</v>
      </c>
      <c r="C81" s="1167" t="s">
        <v>357</v>
      </c>
      <c r="D81" s="931"/>
      <c r="E81" s="885"/>
      <c r="F81" s="885"/>
      <c r="G81" s="885"/>
      <c r="H81" s="885"/>
      <c r="I81" s="885"/>
      <c r="J81" s="885"/>
      <c r="K81" s="847"/>
      <c r="L81" s="847"/>
      <c r="M81" s="847">
        <f>SUM(M82:M107)</f>
        <v>0</v>
      </c>
    </row>
    <row r="82" spans="1:13">
      <c r="A82" s="924" t="s">
        <v>1036</v>
      </c>
      <c r="B82" s="1063" t="s">
        <v>658</v>
      </c>
      <c r="C82" s="1168" t="s">
        <v>413</v>
      </c>
      <c r="D82" s="852" t="s">
        <v>11</v>
      </c>
      <c r="E82" s="903"/>
      <c r="F82" s="903"/>
      <c r="G82" s="878">
        <v>24</v>
      </c>
      <c r="H82" s="878"/>
      <c r="I82" s="878"/>
      <c r="J82" s="878"/>
      <c r="K82" s="843">
        <f t="shared" si="2"/>
        <v>24</v>
      </c>
      <c r="L82" s="865"/>
      <c r="M82" s="843">
        <f t="shared" si="3"/>
        <v>0</v>
      </c>
    </row>
    <row r="83" spans="1:13">
      <c r="A83" s="924" t="s">
        <v>1037</v>
      </c>
      <c r="B83" s="1063" t="s">
        <v>708</v>
      </c>
      <c r="C83" s="1168"/>
      <c r="D83" s="852"/>
      <c r="E83" s="903"/>
      <c r="F83" s="903"/>
      <c r="G83" s="903"/>
      <c r="H83" s="903"/>
      <c r="I83" s="903"/>
      <c r="J83" s="903"/>
      <c r="K83" s="843"/>
      <c r="L83" s="864"/>
      <c r="M83" s="843"/>
    </row>
    <row r="84" spans="1:13">
      <c r="A84" s="925" t="s">
        <v>1038</v>
      </c>
      <c r="B84" s="893" t="s">
        <v>876</v>
      </c>
      <c r="C84" s="1169" t="s">
        <v>469</v>
      </c>
      <c r="D84" s="849" t="s">
        <v>18</v>
      </c>
      <c r="E84" s="878">
        <v>11</v>
      </c>
      <c r="F84" s="878">
        <v>13</v>
      </c>
      <c r="G84" s="878">
        <v>1</v>
      </c>
      <c r="H84" s="878"/>
      <c r="I84" s="878"/>
      <c r="J84" s="878"/>
      <c r="K84" s="843">
        <f t="shared" ref="K84:K131" si="10">SUM(E84:J84)</f>
        <v>25</v>
      </c>
      <c r="L84" s="865"/>
      <c r="M84" s="843">
        <f t="shared" si="3"/>
        <v>0</v>
      </c>
    </row>
    <row r="85" spans="1:13">
      <c r="A85" s="925" t="s">
        <v>1573</v>
      </c>
      <c r="B85" s="893" t="s">
        <v>877</v>
      </c>
      <c r="C85" s="1169" t="s">
        <v>469</v>
      </c>
      <c r="D85" s="849" t="s">
        <v>18</v>
      </c>
      <c r="E85" s="878">
        <v>44</v>
      </c>
      <c r="F85" s="878">
        <v>26</v>
      </c>
      <c r="G85" s="878">
        <v>1</v>
      </c>
      <c r="H85" s="878"/>
      <c r="I85" s="878"/>
      <c r="J85" s="878"/>
      <c r="K85" s="843">
        <f t="shared" si="10"/>
        <v>71</v>
      </c>
      <c r="L85" s="865"/>
      <c r="M85" s="843">
        <f t="shared" si="3"/>
        <v>0</v>
      </c>
    </row>
    <row r="86" spans="1:13">
      <c r="A86" s="925" t="s">
        <v>1574</v>
      </c>
      <c r="B86" s="893" t="s">
        <v>878</v>
      </c>
      <c r="C86" s="1169" t="s">
        <v>469</v>
      </c>
      <c r="D86" s="849" t="s">
        <v>18</v>
      </c>
      <c r="E86" s="878">
        <v>18</v>
      </c>
      <c r="F86" s="878">
        <v>26</v>
      </c>
      <c r="G86" s="878">
        <v>1</v>
      </c>
      <c r="H86" s="878"/>
      <c r="I86" s="878"/>
      <c r="J86" s="878"/>
      <c r="K86" s="843">
        <f t="shared" si="10"/>
        <v>45</v>
      </c>
      <c r="L86" s="865"/>
      <c r="M86" s="843">
        <f t="shared" si="3"/>
        <v>0</v>
      </c>
    </row>
    <row r="87" spans="1:13">
      <c r="A87" s="925" t="s">
        <v>1575</v>
      </c>
      <c r="B87" s="893" t="s">
        <v>879</v>
      </c>
      <c r="C87" s="1169" t="s">
        <v>469</v>
      </c>
      <c r="D87" s="849" t="s">
        <v>18</v>
      </c>
      <c r="E87" s="878"/>
      <c r="F87" s="878"/>
      <c r="G87" s="878">
        <v>2</v>
      </c>
      <c r="H87" s="878"/>
      <c r="I87" s="878"/>
      <c r="J87" s="878"/>
      <c r="K87" s="843">
        <f t="shared" si="10"/>
        <v>2</v>
      </c>
      <c r="L87" s="865"/>
      <c r="M87" s="843">
        <f t="shared" si="3"/>
        <v>0</v>
      </c>
    </row>
    <row r="88" spans="1:13">
      <c r="A88" s="924" t="s">
        <v>1039</v>
      </c>
      <c r="B88" s="1084" t="s">
        <v>735</v>
      </c>
      <c r="C88" s="1168"/>
      <c r="D88" s="852"/>
      <c r="E88" s="878"/>
      <c r="F88" s="878"/>
      <c r="G88" s="878"/>
      <c r="H88" s="878"/>
      <c r="I88" s="878"/>
      <c r="J88" s="878"/>
      <c r="K88" s="843"/>
      <c r="L88" s="864"/>
      <c r="M88" s="843"/>
    </row>
    <row r="89" spans="1:13">
      <c r="A89" s="925" t="s">
        <v>1576</v>
      </c>
      <c r="B89" s="894" t="s">
        <v>736</v>
      </c>
      <c r="C89" s="1169" t="s">
        <v>604</v>
      </c>
      <c r="D89" s="849" t="s">
        <v>236</v>
      </c>
      <c r="E89" s="878">
        <f>18+2</f>
        <v>20</v>
      </c>
      <c r="F89" s="878">
        <f>8+1</f>
        <v>9</v>
      </c>
      <c r="G89" s="878">
        <f>9+2</f>
        <v>11</v>
      </c>
      <c r="H89" s="878">
        <v>1</v>
      </c>
      <c r="I89" s="878">
        <v>2</v>
      </c>
      <c r="J89" s="878">
        <v>2</v>
      </c>
      <c r="K89" s="843">
        <f t="shared" si="10"/>
        <v>45</v>
      </c>
      <c r="L89" s="865"/>
      <c r="M89" s="843">
        <f t="shared" si="3"/>
        <v>0</v>
      </c>
    </row>
    <row r="90" spans="1:13">
      <c r="A90" s="925" t="s">
        <v>1577</v>
      </c>
      <c r="B90" s="894" t="s">
        <v>605</v>
      </c>
      <c r="C90" s="1169" t="s">
        <v>604</v>
      </c>
      <c r="D90" s="849" t="s">
        <v>236</v>
      </c>
      <c r="E90" s="1101">
        <v>5</v>
      </c>
      <c r="F90" s="1101">
        <f>1+1</f>
        <v>2</v>
      </c>
      <c r="G90" s="878">
        <v>3</v>
      </c>
      <c r="H90" s="878"/>
      <c r="I90" s="878"/>
      <c r="J90" s="878"/>
      <c r="K90" s="843">
        <f t="shared" si="10"/>
        <v>10</v>
      </c>
      <c r="L90" s="865"/>
      <c r="M90" s="843">
        <f t="shared" ref="M90:M140" si="11">K90*L90</f>
        <v>0</v>
      </c>
    </row>
    <row r="91" spans="1:13">
      <c r="A91" s="924" t="s">
        <v>1040</v>
      </c>
      <c r="B91" s="1085" t="s">
        <v>563</v>
      </c>
      <c r="C91" s="1170"/>
      <c r="D91" s="852"/>
      <c r="E91" s="878"/>
      <c r="F91" s="878"/>
      <c r="G91" s="878"/>
      <c r="H91" s="878"/>
      <c r="I91" s="878"/>
      <c r="J91" s="878"/>
      <c r="K91" s="843"/>
      <c r="L91" s="864"/>
      <c r="M91" s="843"/>
    </row>
    <row r="92" spans="1:13">
      <c r="A92" s="925" t="s">
        <v>1041</v>
      </c>
      <c r="B92" s="895" t="s">
        <v>547</v>
      </c>
      <c r="C92" s="1169" t="s">
        <v>497</v>
      </c>
      <c r="D92" s="849" t="s">
        <v>236</v>
      </c>
      <c r="E92" s="878">
        <f>12+15+2</f>
        <v>29</v>
      </c>
      <c r="F92" s="878">
        <f>6+8+1</f>
        <v>15</v>
      </c>
      <c r="G92" s="878">
        <f>5+7+1</f>
        <v>13</v>
      </c>
      <c r="H92" s="878"/>
      <c r="I92" s="878">
        <v>0.5</v>
      </c>
      <c r="J92" s="878">
        <f>0.5*3</f>
        <v>1.5</v>
      </c>
      <c r="K92" s="843">
        <f t="shared" si="10"/>
        <v>59</v>
      </c>
      <c r="L92" s="865"/>
      <c r="M92" s="843">
        <f t="shared" si="11"/>
        <v>0</v>
      </c>
    </row>
    <row r="93" spans="1:13">
      <c r="A93" s="925" t="s">
        <v>1092</v>
      </c>
      <c r="B93" s="895" t="s">
        <v>562</v>
      </c>
      <c r="C93" s="1169" t="s">
        <v>497</v>
      </c>
      <c r="D93" s="849" t="s">
        <v>236</v>
      </c>
      <c r="E93" s="878">
        <v>10</v>
      </c>
      <c r="F93" s="878">
        <v>10</v>
      </c>
      <c r="G93" s="878">
        <v>4</v>
      </c>
      <c r="H93" s="878">
        <v>0.5</v>
      </c>
      <c r="I93" s="878"/>
      <c r="J93" s="878"/>
      <c r="K93" s="843">
        <f t="shared" si="10"/>
        <v>24.5</v>
      </c>
      <c r="L93" s="865"/>
      <c r="M93" s="843">
        <f t="shared" si="11"/>
        <v>0</v>
      </c>
    </row>
    <row r="94" spans="1:13">
      <c r="A94" s="925" t="s">
        <v>1578</v>
      </c>
      <c r="B94" s="895" t="s">
        <v>932</v>
      </c>
      <c r="C94" s="1169" t="s">
        <v>933</v>
      </c>
      <c r="D94" s="849" t="s">
        <v>236</v>
      </c>
      <c r="E94" s="878"/>
      <c r="F94" s="878"/>
      <c r="G94" s="878"/>
      <c r="H94" s="878">
        <v>0.25</v>
      </c>
      <c r="I94" s="878">
        <v>0.5</v>
      </c>
      <c r="J94" s="878">
        <v>1</v>
      </c>
      <c r="K94" s="843">
        <f t="shared" si="10"/>
        <v>1.75</v>
      </c>
      <c r="L94" s="865"/>
      <c r="M94" s="843">
        <f t="shared" si="11"/>
        <v>0</v>
      </c>
    </row>
    <row r="95" spans="1:13">
      <c r="A95" s="924" t="s">
        <v>1086</v>
      </c>
      <c r="B95" s="1086" t="s">
        <v>571</v>
      </c>
      <c r="C95" s="1168"/>
      <c r="D95" s="852"/>
      <c r="E95" s="878"/>
      <c r="F95" s="878"/>
      <c r="G95" s="878"/>
      <c r="H95" s="878"/>
      <c r="I95" s="878"/>
      <c r="J95" s="878"/>
      <c r="K95" s="843"/>
      <c r="L95" s="864"/>
      <c r="M95" s="843"/>
    </row>
    <row r="96" spans="1:13">
      <c r="A96" s="925" t="s">
        <v>1579</v>
      </c>
      <c r="B96" s="896" t="s">
        <v>2522</v>
      </c>
      <c r="C96" s="1169" t="s">
        <v>558</v>
      </c>
      <c r="D96" s="849" t="s">
        <v>236</v>
      </c>
      <c r="E96" s="878">
        <f>27+138+21</f>
        <v>186</v>
      </c>
      <c r="F96" s="878">
        <f>15+70+12</f>
        <v>97</v>
      </c>
      <c r="G96" s="878">
        <f>11+54+9</f>
        <v>74</v>
      </c>
      <c r="H96" s="878"/>
      <c r="I96" s="878">
        <v>4.5</v>
      </c>
      <c r="J96" s="878">
        <f>4.5*3</f>
        <v>13.5</v>
      </c>
      <c r="K96" s="843">
        <f t="shared" si="10"/>
        <v>375</v>
      </c>
      <c r="L96" s="865"/>
      <c r="M96" s="843">
        <f t="shared" si="11"/>
        <v>0</v>
      </c>
    </row>
    <row r="97" spans="1:13">
      <c r="A97" s="924" t="s">
        <v>1088</v>
      </c>
      <c r="B97" s="1086" t="s">
        <v>392</v>
      </c>
      <c r="C97" s="1168" t="s">
        <v>528</v>
      </c>
      <c r="D97" s="852"/>
      <c r="E97" s="903"/>
      <c r="F97" s="903"/>
      <c r="G97" s="903"/>
      <c r="H97" s="903"/>
      <c r="I97" s="903"/>
      <c r="J97" s="903"/>
      <c r="K97" s="843"/>
      <c r="L97" s="864"/>
      <c r="M97" s="843"/>
    </row>
    <row r="98" spans="1:13">
      <c r="A98" s="925" t="s">
        <v>1580</v>
      </c>
      <c r="B98" s="896" t="s">
        <v>723</v>
      </c>
      <c r="C98" s="1169"/>
      <c r="D98" s="849" t="s">
        <v>201</v>
      </c>
      <c r="E98" s="878">
        <f>8520+200</f>
        <v>8720</v>
      </c>
      <c r="F98" s="878">
        <f>4580+40+40</f>
        <v>4660</v>
      </c>
      <c r="G98" s="878">
        <f>3246+20</f>
        <v>3266</v>
      </c>
      <c r="H98" s="878"/>
      <c r="I98" s="878">
        <v>100</v>
      </c>
      <c r="J98" s="878">
        <f>100*3</f>
        <v>300</v>
      </c>
      <c r="K98" s="843">
        <f t="shared" si="10"/>
        <v>17046</v>
      </c>
      <c r="L98" s="865"/>
      <c r="M98" s="843">
        <f t="shared" si="11"/>
        <v>0</v>
      </c>
    </row>
    <row r="99" spans="1:13">
      <c r="A99" s="925" t="s">
        <v>1581</v>
      </c>
      <c r="B99" s="896" t="s">
        <v>724</v>
      </c>
      <c r="C99" s="1169"/>
      <c r="D99" s="849" t="s">
        <v>201</v>
      </c>
      <c r="E99" s="878">
        <f>7915+300</f>
        <v>8215</v>
      </c>
      <c r="F99" s="878">
        <f>3990+60+60</f>
        <v>4110</v>
      </c>
      <c r="G99" s="878">
        <f>2830+30</f>
        <v>2860</v>
      </c>
      <c r="H99" s="878"/>
      <c r="I99" s="878">
        <v>150</v>
      </c>
      <c r="J99" s="878">
        <f>150*3</f>
        <v>450</v>
      </c>
      <c r="K99" s="843">
        <f t="shared" si="10"/>
        <v>15785</v>
      </c>
      <c r="L99" s="865"/>
      <c r="M99" s="843">
        <f t="shared" si="11"/>
        <v>0</v>
      </c>
    </row>
    <row r="100" spans="1:13">
      <c r="A100" s="924" t="s">
        <v>1582</v>
      </c>
      <c r="B100" s="1086" t="s">
        <v>730</v>
      </c>
      <c r="C100" s="1168" t="s">
        <v>731</v>
      </c>
      <c r="D100" s="852" t="s">
        <v>18</v>
      </c>
      <c r="E100" s="878">
        <v>24</v>
      </c>
      <c r="F100" s="878">
        <v>14</v>
      </c>
      <c r="G100" s="878">
        <v>10</v>
      </c>
      <c r="H100" s="878"/>
      <c r="I100" s="878"/>
      <c r="J100" s="878"/>
      <c r="K100" s="843">
        <f t="shared" si="10"/>
        <v>48</v>
      </c>
      <c r="L100" s="865"/>
      <c r="M100" s="843">
        <f t="shared" si="11"/>
        <v>0</v>
      </c>
    </row>
    <row r="101" spans="1:13">
      <c r="A101" s="924" t="s">
        <v>1583</v>
      </c>
      <c r="B101" s="1086" t="s">
        <v>934</v>
      </c>
      <c r="C101" s="1168"/>
      <c r="D101" s="852"/>
      <c r="E101" s="878"/>
      <c r="F101" s="878"/>
      <c r="G101" s="878"/>
      <c r="H101" s="878"/>
      <c r="I101" s="878"/>
      <c r="J101" s="878"/>
      <c r="K101" s="843"/>
      <c r="L101" s="864"/>
      <c r="M101" s="843"/>
    </row>
    <row r="102" spans="1:13">
      <c r="A102" s="925" t="s">
        <v>1584</v>
      </c>
      <c r="B102" s="935" t="s">
        <v>725</v>
      </c>
      <c r="C102" s="1169" t="s">
        <v>732</v>
      </c>
      <c r="D102" s="849" t="s">
        <v>234</v>
      </c>
      <c r="E102" s="878">
        <v>404</v>
      </c>
      <c r="F102" s="878">
        <v>208</v>
      </c>
      <c r="G102" s="878">
        <v>161</v>
      </c>
      <c r="H102" s="878"/>
      <c r="I102" s="878"/>
      <c r="J102" s="878"/>
      <c r="K102" s="843">
        <f t="shared" si="10"/>
        <v>773</v>
      </c>
      <c r="L102" s="865"/>
      <c r="M102" s="843">
        <f t="shared" si="11"/>
        <v>0</v>
      </c>
    </row>
    <row r="103" spans="1:13">
      <c r="A103" s="925" t="s">
        <v>1585</v>
      </c>
      <c r="B103" s="935" t="s">
        <v>935</v>
      </c>
      <c r="C103" s="1169" t="s">
        <v>732</v>
      </c>
      <c r="D103" s="849" t="s">
        <v>234</v>
      </c>
      <c r="E103" s="878"/>
      <c r="F103" s="878"/>
      <c r="G103" s="878"/>
      <c r="H103" s="878">
        <v>15</v>
      </c>
      <c r="I103" s="878">
        <v>30</v>
      </c>
      <c r="J103" s="878">
        <v>50</v>
      </c>
      <c r="K103" s="843">
        <f t="shared" si="10"/>
        <v>95</v>
      </c>
      <c r="L103" s="865"/>
      <c r="M103" s="843">
        <f t="shared" si="11"/>
        <v>0</v>
      </c>
    </row>
    <row r="104" spans="1:13">
      <c r="A104" s="924" t="s">
        <v>1586</v>
      </c>
      <c r="B104" s="1087" t="s">
        <v>726</v>
      </c>
      <c r="C104" s="1168" t="s">
        <v>733</v>
      </c>
      <c r="D104" s="852" t="s">
        <v>236</v>
      </c>
      <c r="E104" s="878">
        <v>2</v>
      </c>
      <c r="F104" s="878">
        <v>1</v>
      </c>
      <c r="G104" s="878">
        <v>25</v>
      </c>
      <c r="H104" s="878"/>
      <c r="I104" s="878"/>
      <c r="J104" s="878"/>
      <c r="K104" s="843">
        <f t="shared" si="10"/>
        <v>28</v>
      </c>
      <c r="L104" s="865"/>
      <c r="M104" s="843">
        <f t="shared" si="11"/>
        <v>0</v>
      </c>
    </row>
    <row r="105" spans="1:13">
      <c r="A105" s="924" t="s">
        <v>1587</v>
      </c>
      <c r="B105" s="1087" t="s">
        <v>930</v>
      </c>
      <c r="C105" s="1168"/>
      <c r="D105" s="852"/>
      <c r="E105" s="878"/>
      <c r="F105" s="878"/>
      <c r="G105" s="878"/>
      <c r="H105" s="878"/>
      <c r="I105" s="878"/>
      <c r="J105" s="878"/>
      <c r="K105" s="843"/>
      <c r="L105" s="864"/>
      <c r="M105" s="843"/>
    </row>
    <row r="106" spans="1:13">
      <c r="A106" s="925" t="s">
        <v>1588</v>
      </c>
      <c r="B106" s="893" t="s">
        <v>727</v>
      </c>
      <c r="C106" s="1169" t="s">
        <v>734</v>
      </c>
      <c r="D106" s="849" t="s">
        <v>234</v>
      </c>
      <c r="E106" s="878">
        <v>96</v>
      </c>
      <c r="F106" s="878">
        <v>55</v>
      </c>
      <c r="G106" s="878">
        <v>40</v>
      </c>
      <c r="H106" s="878"/>
      <c r="I106" s="878"/>
      <c r="J106" s="878"/>
      <c r="K106" s="843">
        <f t="shared" si="10"/>
        <v>191</v>
      </c>
      <c r="L106" s="865"/>
      <c r="M106" s="843">
        <f t="shared" si="11"/>
        <v>0</v>
      </c>
    </row>
    <row r="107" spans="1:13">
      <c r="A107" s="925" t="s">
        <v>1589</v>
      </c>
      <c r="B107" s="893" t="s">
        <v>931</v>
      </c>
      <c r="C107" s="1169" t="s">
        <v>734</v>
      </c>
      <c r="D107" s="849" t="s">
        <v>234</v>
      </c>
      <c r="E107" s="878"/>
      <c r="F107" s="878"/>
      <c r="G107" s="878"/>
      <c r="H107" s="878">
        <v>10</v>
      </c>
      <c r="I107" s="878">
        <v>20</v>
      </c>
      <c r="J107" s="878">
        <v>30</v>
      </c>
      <c r="K107" s="843">
        <f t="shared" si="10"/>
        <v>60</v>
      </c>
      <c r="L107" s="865"/>
      <c r="M107" s="843">
        <f t="shared" si="11"/>
        <v>0</v>
      </c>
    </row>
    <row r="108" spans="1:13">
      <c r="A108" s="850" t="s">
        <v>368</v>
      </c>
      <c r="B108" s="1080" t="s">
        <v>738</v>
      </c>
      <c r="C108" s="945"/>
      <c r="D108" s="931"/>
      <c r="E108" s="885"/>
      <c r="F108" s="885"/>
      <c r="G108" s="885"/>
      <c r="H108" s="885"/>
      <c r="I108" s="885"/>
      <c r="J108" s="885"/>
      <c r="K108" s="851"/>
      <c r="L108" s="851"/>
      <c r="M108" s="937">
        <f>SUM(M109:M137)</f>
        <v>0</v>
      </c>
    </row>
    <row r="109" spans="1:13">
      <c r="A109" s="889" t="s">
        <v>1590</v>
      </c>
      <c r="B109" s="915" t="s">
        <v>344</v>
      </c>
      <c r="C109" s="1168" t="s">
        <v>382</v>
      </c>
      <c r="D109" s="852"/>
      <c r="E109" s="903"/>
      <c r="F109" s="903"/>
      <c r="G109" s="903"/>
      <c r="H109" s="886"/>
      <c r="I109" s="886"/>
      <c r="J109" s="886"/>
      <c r="K109" s="843"/>
      <c r="L109" s="853"/>
      <c r="M109" s="843"/>
    </row>
    <row r="110" spans="1:13">
      <c r="A110" s="936" t="s">
        <v>1591</v>
      </c>
      <c r="B110" s="897" t="s">
        <v>700</v>
      </c>
      <c r="C110" s="1164"/>
      <c r="D110" s="846" t="s">
        <v>11</v>
      </c>
      <c r="E110" s="878">
        <v>802</v>
      </c>
      <c r="F110" s="878">
        <v>112</v>
      </c>
      <c r="G110" s="878">
        <v>240</v>
      </c>
      <c r="H110" s="878"/>
      <c r="I110" s="878"/>
      <c r="J110" s="878"/>
      <c r="K110" s="843">
        <f t="shared" si="10"/>
        <v>1154</v>
      </c>
      <c r="L110" s="862"/>
      <c r="M110" s="843">
        <f t="shared" si="11"/>
        <v>0</v>
      </c>
    </row>
    <row r="111" spans="1:13">
      <c r="A111" s="936" t="s">
        <v>1592</v>
      </c>
      <c r="B111" s="898" t="s">
        <v>701</v>
      </c>
      <c r="C111" s="1164"/>
      <c r="D111" s="846" t="s">
        <v>11</v>
      </c>
      <c r="E111" s="878">
        <v>62</v>
      </c>
      <c r="F111" s="878"/>
      <c r="G111" s="878"/>
      <c r="H111" s="878"/>
      <c r="I111" s="878"/>
      <c r="J111" s="878"/>
      <c r="K111" s="843">
        <f t="shared" si="10"/>
        <v>62</v>
      </c>
      <c r="L111" s="862"/>
      <c r="M111" s="843">
        <f t="shared" si="11"/>
        <v>0</v>
      </c>
    </row>
    <row r="112" spans="1:13">
      <c r="A112" s="889" t="s">
        <v>1593</v>
      </c>
      <c r="B112" s="915" t="s">
        <v>400</v>
      </c>
      <c r="C112" s="1168" t="s">
        <v>414</v>
      </c>
      <c r="D112" s="852"/>
      <c r="E112" s="903"/>
      <c r="F112" s="903"/>
      <c r="G112" s="903"/>
      <c r="H112" s="903"/>
      <c r="I112" s="903"/>
      <c r="J112" s="903"/>
      <c r="K112" s="843"/>
      <c r="L112" s="853"/>
      <c r="M112" s="843"/>
    </row>
    <row r="113" spans="1:13">
      <c r="A113" s="936" t="s">
        <v>1594</v>
      </c>
      <c r="B113" s="898" t="s">
        <v>401</v>
      </c>
      <c r="C113" s="1164"/>
      <c r="D113" s="846" t="s">
        <v>236</v>
      </c>
      <c r="E113" s="906">
        <v>21</v>
      </c>
      <c r="F113" s="906">
        <v>5</v>
      </c>
      <c r="G113" s="906">
        <v>17</v>
      </c>
      <c r="H113" s="906"/>
      <c r="I113" s="906"/>
      <c r="J113" s="906"/>
      <c r="K113" s="843">
        <f t="shared" si="10"/>
        <v>43</v>
      </c>
      <c r="L113" s="862"/>
      <c r="M113" s="843">
        <f t="shared" si="11"/>
        <v>0</v>
      </c>
    </row>
    <row r="114" spans="1:13">
      <c r="A114" s="936" t="s">
        <v>1595</v>
      </c>
      <c r="B114" s="898" t="s">
        <v>402</v>
      </c>
      <c r="C114" s="1164"/>
      <c r="D114" s="846" t="s">
        <v>236</v>
      </c>
      <c r="E114" s="907">
        <v>5</v>
      </c>
      <c r="F114" s="907"/>
      <c r="G114" s="907"/>
      <c r="H114" s="907"/>
      <c r="I114" s="907"/>
      <c r="J114" s="907"/>
      <c r="K114" s="843">
        <f t="shared" si="10"/>
        <v>5</v>
      </c>
      <c r="L114" s="863"/>
      <c r="M114" s="843">
        <f t="shared" si="11"/>
        <v>0</v>
      </c>
    </row>
    <row r="115" spans="1:13">
      <c r="A115" s="936" t="s">
        <v>1596</v>
      </c>
      <c r="B115" s="898" t="s">
        <v>556</v>
      </c>
      <c r="C115" s="1164"/>
      <c r="D115" s="846" t="s">
        <v>236</v>
      </c>
      <c r="E115" s="907">
        <v>871</v>
      </c>
      <c r="F115" s="907">
        <v>516</v>
      </c>
      <c r="G115" s="907">
        <v>774</v>
      </c>
      <c r="H115" s="907"/>
      <c r="I115" s="907"/>
      <c r="J115" s="907"/>
      <c r="K115" s="843">
        <f t="shared" si="10"/>
        <v>2161</v>
      </c>
      <c r="L115" s="863"/>
      <c r="M115" s="843">
        <f t="shared" si="11"/>
        <v>0</v>
      </c>
    </row>
    <row r="116" spans="1:13">
      <c r="A116" s="890" t="s">
        <v>1042</v>
      </c>
      <c r="B116" s="1061" t="s">
        <v>703</v>
      </c>
      <c r="C116" s="1168"/>
      <c r="D116" s="852"/>
      <c r="E116" s="908"/>
      <c r="F116" s="908"/>
      <c r="G116" s="908"/>
      <c r="H116" s="908"/>
      <c r="I116" s="908"/>
      <c r="J116" s="908"/>
      <c r="K116" s="843"/>
      <c r="L116" s="854"/>
      <c r="M116" s="843"/>
    </row>
    <row r="117" spans="1:13">
      <c r="A117" s="880" t="s">
        <v>1597</v>
      </c>
      <c r="B117" s="1061" t="s">
        <v>461</v>
      </c>
      <c r="C117" s="1168"/>
      <c r="D117" s="852"/>
      <c r="E117" s="908"/>
      <c r="F117" s="908"/>
      <c r="G117" s="908"/>
      <c r="H117" s="908"/>
      <c r="I117" s="908"/>
      <c r="J117" s="908"/>
      <c r="K117" s="843"/>
      <c r="L117" s="854"/>
      <c r="M117" s="843"/>
    </row>
    <row r="118" spans="1:13">
      <c r="A118" s="891" t="s">
        <v>1598</v>
      </c>
      <c r="B118" s="899" t="s">
        <v>941</v>
      </c>
      <c r="C118" s="1164" t="s">
        <v>2524</v>
      </c>
      <c r="D118" s="846" t="s">
        <v>236</v>
      </c>
      <c r="E118" s="879">
        <v>106</v>
      </c>
      <c r="F118" s="879">
        <v>16</v>
      </c>
      <c r="G118" s="879">
        <v>55</v>
      </c>
      <c r="H118" s="879"/>
      <c r="I118" s="879">
        <v>50</v>
      </c>
      <c r="J118" s="879">
        <v>150</v>
      </c>
      <c r="K118" s="843">
        <f>SUM(E118:J118)</f>
        <v>377</v>
      </c>
      <c r="L118" s="863"/>
      <c r="M118" s="843">
        <f t="shared" si="11"/>
        <v>0</v>
      </c>
    </row>
    <row r="119" spans="1:13">
      <c r="A119" s="880" t="s">
        <v>1599</v>
      </c>
      <c r="B119" s="1061" t="s">
        <v>462</v>
      </c>
      <c r="C119" s="1168" t="s">
        <v>1451</v>
      </c>
      <c r="D119" s="852"/>
      <c r="E119" s="908"/>
      <c r="F119" s="908"/>
      <c r="G119" s="908"/>
      <c r="H119" s="908"/>
      <c r="I119" s="908"/>
      <c r="J119" s="908"/>
      <c r="K119" s="843"/>
      <c r="L119" s="854"/>
      <c r="M119" s="843"/>
    </row>
    <row r="120" spans="1:13">
      <c r="A120" s="891" t="s">
        <v>1600</v>
      </c>
      <c r="B120" s="899" t="s">
        <v>860</v>
      </c>
      <c r="C120" s="1164"/>
      <c r="D120" s="846" t="s">
        <v>236</v>
      </c>
      <c r="E120" s="879">
        <v>66</v>
      </c>
      <c r="F120" s="879">
        <v>10</v>
      </c>
      <c r="G120" s="879">
        <v>35</v>
      </c>
      <c r="H120" s="879"/>
      <c r="I120" s="879"/>
      <c r="J120" s="879"/>
      <c r="K120" s="843">
        <f t="shared" si="10"/>
        <v>111</v>
      </c>
      <c r="L120" s="863"/>
      <c r="M120" s="843">
        <f t="shared" si="11"/>
        <v>0</v>
      </c>
    </row>
    <row r="121" spans="1:13">
      <c r="A121" s="880" t="s">
        <v>1601</v>
      </c>
      <c r="B121" s="1061" t="s">
        <v>463</v>
      </c>
      <c r="C121" s="1168" t="s">
        <v>1451</v>
      </c>
      <c r="D121" s="852"/>
      <c r="E121" s="908"/>
      <c r="F121" s="908"/>
      <c r="G121" s="908"/>
      <c r="H121" s="908"/>
      <c r="I121" s="908"/>
      <c r="J121" s="908"/>
      <c r="K121" s="843"/>
      <c r="L121" s="854"/>
      <c r="M121" s="843"/>
    </row>
    <row r="122" spans="1:13">
      <c r="A122" s="891" t="s">
        <v>1602</v>
      </c>
      <c r="B122" s="899" t="s">
        <v>2574</v>
      </c>
      <c r="C122" s="1164"/>
      <c r="D122" s="846" t="s">
        <v>234</v>
      </c>
      <c r="E122" s="879">
        <v>264</v>
      </c>
      <c r="F122" s="879">
        <v>62</v>
      </c>
      <c r="G122" s="879">
        <v>212</v>
      </c>
      <c r="H122" s="879"/>
      <c r="I122" s="879"/>
      <c r="J122" s="879"/>
      <c r="K122" s="843">
        <f t="shared" si="10"/>
        <v>538</v>
      </c>
      <c r="L122" s="863"/>
      <c r="M122" s="843">
        <f t="shared" si="11"/>
        <v>0</v>
      </c>
    </row>
    <row r="123" spans="1:13">
      <c r="A123" s="880" t="s">
        <v>1603</v>
      </c>
      <c r="B123" s="1061" t="s">
        <v>464</v>
      </c>
      <c r="C123" s="1168" t="s">
        <v>1451</v>
      </c>
      <c r="D123" s="852"/>
      <c r="E123" s="879"/>
      <c r="F123" s="879"/>
      <c r="G123" s="879"/>
      <c r="H123" s="879"/>
      <c r="I123" s="879"/>
      <c r="J123" s="879"/>
      <c r="K123" s="843"/>
      <c r="L123" s="854"/>
      <c r="M123" s="843"/>
    </row>
    <row r="124" spans="1:13">
      <c r="A124" s="891" t="s">
        <v>1604</v>
      </c>
      <c r="B124" s="899" t="s">
        <v>2525</v>
      </c>
      <c r="C124" s="1164"/>
      <c r="D124" s="846" t="s">
        <v>234</v>
      </c>
      <c r="E124" s="879">
        <v>264</v>
      </c>
      <c r="F124" s="879">
        <v>62</v>
      </c>
      <c r="G124" s="879">
        <v>212</v>
      </c>
      <c r="H124" s="879"/>
      <c r="I124" s="879"/>
      <c r="J124" s="879"/>
      <c r="K124" s="843">
        <f>SUM(E124:J124)</f>
        <v>538</v>
      </c>
      <c r="L124" s="863"/>
      <c r="M124" s="843">
        <f t="shared" si="11"/>
        <v>0</v>
      </c>
    </row>
    <row r="125" spans="1:13">
      <c r="A125" s="880" t="s">
        <v>1605</v>
      </c>
      <c r="B125" s="1088" t="s">
        <v>705</v>
      </c>
      <c r="C125" s="1171" t="s">
        <v>2526</v>
      </c>
      <c r="D125" s="852" t="s">
        <v>234</v>
      </c>
      <c r="E125" s="879">
        <v>25</v>
      </c>
      <c r="F125" s="879"/>
      <c r="G125" s="879"/>
      <c r="H125" s="879"/>
      <c r="I125" s="879"/>
      <c r="J125" s="879"/>
      <c r="K125" s="843">
        <f t="shared" si="10"/>
        <v>25</v>
      </c>
      <c r="L125" s="863"/>
      <c r="M125" s="843">
        <f t="shared" si="11"/>
        <v>0</v>
      </c>
    </row>
    <row r="126" spans="1:13">
      <c r="A126" s="880" t="s">
        <v>1606</v>
      </c>
      <c r="B126" s="1088" t="s">
        <v>706</v>
      </c>
      <c r="C126" s="1171" t="s">
        <v>2527</v>
      </c>
      <c r="D126" s="852" t="s">
        <v>234</v>
      </c>
      <c r="E126" s="879">
        <v>3482</v>
      </c>
      <c r="F126" s="879">
        <v>2066</v>
      </c>
      <c r="G126" s="879">
        <v>774</v>
      </c>
      <c r="H126" s="879"/>
      <c r="I126" s="879"/>
      <c r="J126" s="879"/>
      <c r="K126" s="843">
        <f t="shared" si="10"/>
        <v>6322</v>
      </c>
      <c r="L126" s="863"/>
      <c r="M126" s="843">
        <f t="shared" si="11"/>
        <v>0</v>
      </c>
    </row>
    <row r="127" spans="1:13">
      <c r="A127" s="880" t="s">
        <v>1607</v>
      </c>
      <c r="B127" s="1061" t="s">
        <v>474</v>
      </c>
      <c r="C127" s="1168"/>
      <c r="D127" s="852"/>
      <c r="E127" s="879"/>
      <c r="F127" s="879"/>
      <c r="G127" s="879"/>
      <c r="H127" s="879"/>
      <c r="I127" s="879"/>
      <c r="J127" s="879"/>
      <c r="K127" s="843"/>
      <c r="L127" s="854"/>
      <c r="M127" s="843"/>
    </row>
    <row r="128" spans="1:13">
      <c r="A128" s="891" t="s">
        <v>1608</v>
      </c>
      <c r="B128" s="899" t="s">
        <v>603</v>
      </c>
      <c r="C128" s="1164" t="s">
        <v>2528</v>
      </c>
      <c r="D128" s="846" t="s">
        <v>18</v>
      </c>
      <c r="E128" s="879">
        <v>5</v>
      </c>
      <c r="F128" s="879">
        <v>8</v>
      </c>
      <c r="G128" s="879">
        <v>13</v>
      </c>
      <c r="H128" s="879"/>
      <c r="I128" s="879"/>
      <c r="J128" s="879"/>
      <c r="K128" s="843">
        <f t="shared" si="10"/>
        <v>26</v>
      </c>
      <c r="L128" s="863"/>
      <c r="M128" s="843">
        <f t="shared" si="11"/>
        <v>0</v>
      </c>
    </row>
    <row r="129" spans="1:13">
      <c r="A129" s="891" t="s">
        <v>1609</v>
      </c>
      <c r="B129" s="899" t="s">
        <v>475</v>
      </c>
      <c r="C129" s="1164"/>
      <c r="D129" s="846" t="s">
        <v>18</v>
      </c>
      <c r="E129" s="879">
        <v>19</v>
      </c>
      <c r="F129" s="879">
        <v>16</v>
      </c>
      <c r="G129" s="879">
        <v>11</v>
      </c>
      <c r="H129" s="879"/>
      <c r="I129" s="879"/>
      <c r="J129" s="879"/>
      <c r="K129" s="843">
        <f t="shared" si="10"/>
        <v>46</v>
      </c>
      <c r="L129" s="863"/>
      <c r="M129" s="843">
        <f t="shared" si="11"/>
        <v>0</v>
      </c>
    </row>
    <row r="130" spans="1:13">
      <c r="A130" s="891" t="s">
        <v>1610</v>
      </c>
      <c r="B130" s="899" t="s">
        <v>476</v>
      </c>
      <c r="C130" s="1164"/>
      <c r="D130" s="846" t="s">
        <v>18</v>
      </c>
      <c r="E130" s="879">
        <v>8</v>
      </c>
      <c r="F130" s="879">
        <v>16</v>
      </c>
      <c r="G130" s="879">
        <v>7</v>
      </c>
      <c r="H130" s="879"/>
      <c r="I130" s="879"/>
      <c r="J130" s="879"/>
      <c r="K130" s="843">
        <f t="shared" si="10"/>
        <v>31</v>
      </c>
      <c r="L130" s="863"/>
      <c r="M130" s="843">
        <f t="shared" si="11"/>
        <v>0</v>
      </c>
    </row>
    <row r="131" spans="1:13">
      <c r="A131" s="891" t="s">
        <v>1611</v>
      </c>
      <c r="B131" s="899" t="s">
        <v>872</v>
      </c>
      <c r="C131" s="1164"/>
      <c r="D131" s="846" t="s">
        <v>18</v>
      </c>
      <c r="E131" s="879"/>
      <c r="F131" s="879"/>
      <c r="G131" s="879">
        <v>4</v>
      </c>
      <c r="H131" s="879"/>
      <c r="I131" s="879"/>
      <c r="J131" s="879"/>
      <c r="K131" s="843">
        <f t="shared" si="10"/>
        <v>4</v>
      </c>
      <c r="L131" s="863"/>
      <c r="M131" s="843">
        <f t="shared" si="11"/>
        <v>0</v>
      </c>
    </row>
    <row r="132" spans="1:13">
      <c r="A132" s="880" t="s">
        <v>1612</v>
      </c>
      <c r="B132" s="1061" t="s">
        <v>715</v>
      </c>
      <c r="C132" s="1168" t="s">
        <v>2529</v>
      </c>
      <c r="D132" s="852"/>
      <c r="E132" s="879"/>
      <c r="F132" s="879"/>
      <c r="G132" s="879"/>
      <c r="H132" s="879"/>
      <c r="I132" s="879"/>
      <c r="J132" s="879"/>
      <c r="K132" s="843"/>
      <c r="L132" s="854"/>
      <c r="M132" s="843"/>
    </row>
    <row r="133" spans="1:13">
      <c r="A133" s="891" t="s">
        <v>1613</v>
      </c>
      <c r="B133" s="899" t="s">
        <v>742</v>
      </c>
      <c r="C133" s="1164" t="s">
        <v>2530</v>
      </c>
      <c r="D133" s="846" t="s">
        <v>11</v>
      </c>
      <c r="E133" s="879">
        <v>20</v>
      </c>
      <c r="F133" s="879">
        <v>20</v>
      </c>
      <c r="G133" s="879">
        <v>7</v>
      </c>
      <c r="H133" s="879"/>
      <c r="I133" s="879"/>
      <c r="J133" s="879"/>
      <c r="K133" s="843">
        <f t="shared" ref="K133:K186" si="12">SUM(E133:J133)</f>
        <v>47</v>
      </c>
      <c r="L133" s="863"/>
      <c r="M133" s="843">
        <f t="shared" si="11"/>
        <v>0</v>
      </c>
    </row>
    <row r="134" spans="1:13">
      <c r="A134" s="891" t="s">
        <v>1614</v>
      </c>
      <c r="B134" s="899" t="s">
        <v>743</v>
      </c>
      <c r="C134" s="1164" t="s">
        <v>2531</v>
      </c>
      <c r="D134" s="846" t="s">
        <v>11</v>
      </c>
      <c r="E134" s="879">
        <v>20</v>
      </c>
      <c r="F134" s="879">
        <v>20</v>
      </c>
      <c r="G134" s="879">
        <v>3</v>
      </c>
      <c r="H134" s="879"/>
      <c r="I134" s="879"/>
      <c r="J134" s="879"/>
      <c r="K134" s="843">
        <f t="shared" si="12"/>
        <v>43</v>
      </c>
      <c r="L134" s="863"/>
      <c r="M134" s="843">
        <f t="shared" si="11"/>
        <v>0</v>
      </c>
    </row>
    <row r="135" spans="1:13">
      <c r="A135" s="891" t="s">
        <v>1615</v>
      </c>
      <c r="B135" s="899" t="s">
        <v>744</v>
      </c>
      <c r="C135" s="1164" t="s">
        <v>2532</v>
      </c>
      <c r="D135" s="846" t="s">
        <v>11</v>
      </c>
      <c r="E135" s="879">
        <f>438+60</f>
        <v>498</v>
      </c>
      <c r="F135" s="879">
        <f>228+44</f>
        <v>272</v>
      </c>
      <c r="G135" s="879">
        <f>210+36</f>
        <v>246</v>
      </c>
      <c r="H135" s="879"/>
      <c r="I135" s="879"/>
      <c r="J135" s="879"/>
      <c r="K135" s="843">
        <f t="shared" si="12"/>
        <v>1016</v>
      </c>
      <c r="L135" s="863"/>
      <c r="M135" s="843">
        <f t="shared" si="11"/>
        <v>0</v>
      </c>
    </row>
    <row r="136" spans="1:13">
      <c r="A136" s="880" t="s">
        <v>1616</v>
      </c>
      <c r="B136" s="1061" t="s">
        <v>740</v>
      </c>
      <c r="C136" s="1168"/>
      <c r="D136" s="852"/>
      <c r="E136" s="909"/>
      <c r="F136" s="909"/>
      <c r="G136" s="909"/>
      <c r="H136" s="909"/>
      <c r="I136" s="909"/>
      <c r="J136" s="909"/>
      <c r="K136" s="843"/>
      <c r="L136" s="854"/>
      <c r="M136" s="843"/>
    </row>
    <row r="137" spans="1:13">
      <c r="A137" s="891" t="s">
        <v>1617</v>
      </c>
      <c r="B137" s="899" t="s">
        <v>739</v>
      </c>
      <c r="C137" s="1164" t="s">
        <v>2533</v>
      </c>
      <c r="D137" s="846" t="s">
        <v>234</v>
      </c>
      <c r="E137" s="879">
        <f>146+15</f>
        <v>161</v>
      </c>
      <c r="F137" s="879">
        <f>76+11</f>
        <v>87</v>
      </c>
      <c r="G137" s="879">
        <f>70+9</f>
        <v>79</v>
      </c>
      <c r="H137" s="879"/>
      <c r="I137" s="879"/>
      <c r="J137" s="879"/>
      <c r="K137" s="843">
        <f t="shared" si="12"/>
        <v>327</v>
      </c>
      <c r="L137" s="863"/>
      <c r="M137" s="843">
        <f t="shared" si="11"/>
        <v>0</v>
      </c>
    </row>
    <row r="138" spans="1:13">
      <c r="A138" s="858" t="s">
        <v>1043</v>
      </c>
      <c r="B138" s="858" t="s">
        <v>678</v>
      </c>
      <c r="C138" s="1172" t="s">
        <v>2257</v>
      </c>
      <c r="D138" s="930"/>
      <c r="E138" s="884"/>
      <c r="F138" s="884"/>
      <c r="G138" s="884"/>
      <c r="H138" s="884"/>
      <c r="I138" s="884"/>
      <c r="J138" s="884"/>
      <c r="K138" s="841"/>
      <c r="L138" s="841"/>
      <c r="M138" s="841">
        <f>SUM(M139:M299)</f>
        <v>0</v>
      </c>
    </row>
    <row r="139" spans="1:13">
      <c r="A139" s="923" t="s">
        <v>1044</v>
      </c>
      <c r="B139" s="1089" t="s">
        <v>1313</v>
      </c>
      <c r="C139" s="1173" t="s">
        <v>1315</v>
      </c>
      <c r="D139" s="877"/>
      <c r="E139" s="905"/>
      <c r="F139" s="905"/>
      <c r="G139" s="905"/>
      <c r="H139" s="905"/>
      <c r="I139" s="905"/>
      <c r="J139" s="905"/>
      <c r="K139" s="843"/>
      <c r="L139" s="860"/>
      <c r="M139" s="843"/>
    </row>
    <row r="140" spans="1:13">
      <c r="A140" s="926" t="s">
        <v>1045</v>
      </c>
      <c r="B140" s="899" t="s">
        <v>2231</v>
      </c>
      <c r="C140" s="1164"/>
      <c r="D140" s="846" t="s">
        <v>18</v>
      </c>
      <c r="E140" s="906">
        <v>24</v>
      </c>
      <c r="F140" s="906">
        <v>14</v>
      </c>
      <c r="G140" s="906">
        <v>10</v>
      </c>
      <c r="H140" s="906"/>
      <c r="I140" s="906"/>
      <c r="J140" s="906"/>
      <c r="K140" s="843">
        <v>52</v>
      </c>
      <c r="L140" s="861"/>
      <c r="M140" s="843">
        <f t="shared" si="11"/>
        <v>0</v>
      </c>
    </row>
    <row r="141" spans="1:13">
      <c r="A141" s="923" t="s">
        <v>1618</v>
      </c>
      <c r="B141" s="1090" t="s">
        <v>395</v>
      </c>
      <c r="C141" s="1164" t="s">
        <v>837</v>
      </c>
      <c r="D141" s="846"/>
      <c r="E141" s="905"/>
      <c r="F141" s="905"/>
      <c r="G141" s="905"/>
      <c r="H141" s="905"/>
      <c r="I141" s="905"/>
      <c r="J141" s="905"/>
      <c r="K141" s="843"/>
      <c r="L141" s="860"/>
      <c r="M141" s="843"/>
    </row>
    <row r="142" spans="1:13" ht="28.5">
      <c r="A142" s="926" t="s">
        <v>1619</v>
      </c>
      <c r="B142" s="900" t="s">
        <v>745</v>
      </c>
      <c r="C142" s="1173" t="s">
        <v>838</v>
      </c>
      <c r="D142" s="877" t="s">
        <v>18</v>
      </c>
      <c r="E142" s="906">
        <v>14</v>
      </c>
      <c r="F142" s="906">
        <v>6</v>
      </c>
      <c r="G142" s="906"/>
      <c r="H142" s="906"/>
      <c r="I142" s="906"/>
      <c r="J142" s="906"/>
      <c r="K142" s="843">
        <f t="shared" si="12"/>
        <v>20</v>
      </c>
      <c r="L142" s="861"/>
      <c r="M142" s="843">
        <f t="shared" ref="M142:M201" si="13">K142*L142</f>
        <v>0</v>
      </c>
    </row>
    <row r="143" spans="1:13" ht="28.5">
      <c r="A143" s="926" t="s">
        <v>1620</v>
      </c>
      <c r="B143" s="900" t="s">
        <v>880</v>
      </c>
      <c r="C143" s="1173"/>
      <c r="D143" s="877" t="s">
        <v>18</v>
      </c>
      <c r="E143" s="906"/>
      <c r="F143" s="906"/>
      <c r="G143" s="906">
        <v>7</v>
      </c>
      <c r="H143" s="906"/>
      <c r="I143" s="906"/>
      <c r="J143" s="906"/>
      <c r="K143" s="843">
        <f t="shared" si="12"/>
        <v>7</v>
      </c>
      <c r="L143" s="861"/>
      <c r="M143" s="843">
        <f t="shared" si="13"/>
        <v>0</v>
      </c>
    </row>
    <row r="144" spans="1:13" ht="28.5">
      <c r="A144" s="926" t="s">
        <v>1621</v>
      </c>
      <c r="B144" s="901" t="s">
        <v>746</v>
      </c>
      <c r="C144" s="1173" t="s">
        <v>839</v>
      </c>
      <c r="D144" s="877" t="s">
        <v>18</v>
      </c>
      <c r="E144" s="906">
        <v>3</v>
      </c>
      <c r="F144" s="906">
        <v>1</v>
      </c>
      <c r="G144" s="906">
        <v>1</v>
      </c>
      <c r="H144" s="906"/>
      <c r="I144" s="906"/>
      <c r="J144" s="906"/>
      <c r="K144" s="843">
        <f t="shared" si="12"/>
        <v>5</v>
      </c>
      <c r="L144" s="861"/>
      <c r="M144" s="843">
        <f t="shared" si="13"/>
        <v>0</v>
      </c>
    </row>
    <row r="145" spans="1:13" ht="28.5">
      <c r="A145" s="926" t="s">
        <v>1622</v>
      </c>
      <c r="B145" s="901" t="s">
        <v>747</v>
      </c>
      <c r="C145" s="1173" t="s">
        <v>840</v>
      </c>
      <c r="D145" s="877" t="s">
        <v>18</v>
      </c>
      <c r="E145" s="906">
        <v>1</v>
      </c>
      <c r="F145" s="906">
        <v>2</v>
      </c>
      <c r="G145" s="906"/>
      <c r="H145" s="906"/>
      <c r="I145" s="906"/>
      <c r="J145" s="906"/>
      <c r="K145" s="843">
        <f t="shared" si="12"/>
        <v>3</v>
      </c>
      <c r="L145" s="861"/>
      <c r="M145" s="843">
        <f t="shared" si="13"/>
        <v>0</v>
      </c>
    </row>
    <row r="146" spans="1:13" ht="28.5">
      <c r="A146" s="926" t="s">
        <v>1623</v>
      </c>
      <c r="B146" s="901" t="s">
        <v>748</v>
      </c>
      <c r="C146" s="1173" t="s">
        <v>841</v>
      </c>
      <c r="D146" s="877" t="s">
        <v>18</v>
      </c>
      <c r="E146" s="906">
        <v>2</v>
      </c>
      <c r="F146" s="906"/>
      <c r="G146" s="906"/>
      <c r="H146" s="906"/>
      <c r="I146" s="906"/>
      <c r="J146" s="906"/>
      <c r="K146" s="843">
        <f t="shared" si="12"/>
        <v>2</v>
      </c>
      <c r="L146" s="861"/>
      <c r="M146" s="843">
        <f t="shared" si="13"/>
        <v>0</v>
      </c>
    </row>
    <row r="147" spans="1:13" ht="28.5">
      <c r="A147" s="926" t="s">
        <v>1624</v>
      </c>
      <c r="B147" s="901" t="s">
        <v>836</v>
      </c>
      <c r="C147" s="1173" t="s">
        <v>842</v>
      </c>
      <c r="D147" s="877" t="s">
        <v>18</v>
      </c>
      <c r="E147" s="906"/>
      <c r="F147" s="906">
        <v>2</v>
      </c>
      <c r="G147" s="906"/>
      <c r="H147" s="906"/>
      <c r="I147" s="906"/>
      <c r="J147" s="906"/>
      <c r="K147" s="843">
        <f t="shared" si="12"/>
        <v>2</v>
      </c>
      <c r="L147" s="861"/>
      <c r="M147" s="843">
        <f t="shared" si="13"/>
        <v>0</v>
      </c>
    </row>
    <row r="148" spans="1:13">
      <c r="A148" s="926" t="s">
        <v>1625</v>
      </c>
      <c r="B148" s="901" t="s">
        <v>2282</v>
      </c>
      <c r="C148" s="1173" t="s">
        <v>751</v>
      </c>
      <c r="D148" s="877" t="s">
        <v>18</v>
      </c>
      <c r="E148" s="906">
        <v>475</v>
      </c>
      <c r="F148" s="906">
        <v>630</v>
      </c>
      <c r="G148" s="906">
        <v>360</v>
      </c>
      <c r="H148" s="906"/>
      <c r="I148" s="906"/>
      <c r="J148" s="906"/>
      <c r="K148" s="843">
        <f t="shared" si="12"/>
        <v>1465</v>
      </c>
      <c r="L148" s="861"/>
      <c r="M148" s="843">
        <f t="shared" si="13"/>
        <v>0</v>
      </c>
    </row>
    <row r="149" spans="1:13">
      <c r="A149" s="926" t="s">
        <v>1626</v>
      </c>
      <c r="B149" s="901" t="s">
        <v>2283</v>
      </c>
      <c r="C149" s="1173" t="s">
        <v>844</v>
      </c>
      <c r="D149" s="877" t="s">
        <v>18</v>
      </c>
      <c r="E149" s="906"/>
      <c r="F149" s="906">
        <v>102</v>
      </c>
      <c r="G149" s="906">
        <v>135</v>
      </c>
      <c r="H149" s="906"/>
      <c r="I149" s="906"/>
      <c r="J149" s="906"/>
      <c r="K149" s="843">
        <f t="shared" si="12"/>
        <v>237</v>
      </c>
      <c r="L149" s="861"/>
      <c r="M149" s="843">
        <f t="shared" si="13"/>
        <v>0</v>
      </c>
    </row>
    <row r="150" spans="1:13" ht="28.5">
      <c r="A150" s="923" t="s">
        <v>1627</v>
      </c>
      <c r="B150" s="901" t="s">
        <v>2752</v>
      </c>
      <c r="C150" s="1173"/>
      <c r="D150" s="877" t="s">
        <v>18</v>
      </c>
      <c r="E150" s="906"/>
      <c r="F150" s="910"/>
      <c r="G150" s="906">
        <v>107</v>
      </c>
      <c r="H150" s="906"/>
      <c r="I150" s="906"/>
      <c r="J150" s="906"/>
      <c r="K150" s="843">
        <f t="shared" si="12"/>
        <v>107</v>
      </c>
      <c r="L150" s="861"/>
      <c r="M150" s="843">
        <f t="shared" si="13"/>
        <v>0</v>
      </c>
    </row>
    <row r="151" spans="1:13" ht="28.5">
      <c r="A151" s="923" t="s">
        <v>1628</v>
      </c>
      <c r="B151" s="901" t="s">
        <v>873</v>
      </c>
      <c r="C151" s="1173"/>
      <c r="D151" s="877" t="s">
        <v>18</v>
      </c>
      <c r="E151" s="906"/>
      <c r="F151" s="910"/>
      <c r="G151" s="906">
        <v>34</v>
      </c>
      <c r="H151" s="906"/>
      <c r="I151" s="906"/>
      <c r="J151" s="906"/>
      <c r="K151" s="843">
        <f t="shared" si="12"/>
        <v>34</v>
      </c>
      <c r="L151" s="861"/>
      <c r="M151" s="843">
        <f t="shared" si="13"/>
        <v>0</v>
      </c>
    </row>
    <row r="152" spans="1:13" ht="28.5">
      <c r="A152" s="923" t="s">
        <v>1629</v>
      </c>
      <c r="B152" s="901" t="s">
        <v>874</v>
      </c>
      <c r="C152" s="1173"/>
      <c r="D152" s="877" t="s">
        <v>18</v>
      </c>
      <c r="E152" s="906"/>
      <c r="F152" s="910"/>
      <c r="G152" s="906">
        <v>6</v>
      </c>
      <c r="H152" s="906"/>
      <c r="I152" s="906"/>
      <c r="J152" s="906"/>
      <c r="K152" s="843">
        <f t="shared" si="12"/>
        <v>6</v>
      </c>
      <c r="L152" s="861"/>
      <c r="M152" s="843">
        <f t="shared" si="13"/>
        <v>0</v>
      </c>
    </row>
    <row r="153" spans="1:13" ht="28.5">
      <c r="A153" s="923" t="s">
        <v>1630</v>
      </c>
      <c r="B153" s="901" t="s">
        <v>875</v>
      </c>
      <c r="C153" s="1173"/>
      <c r="D153" s="877" t="s">
        <v>18</v>
      </c>
      <c r="E153" s="906"/>
      <c r="F153" s="910"/>
      <c r="G153" s="906">
        <v>4</v>
      </c>
      <c r="H153" s="906"/>
      <c r="I153" s="906"/>
      <c r="J153" s="906"/>
      <c r="K153" s="843">
        <f t="shared" si="12"/>
        <v>4</v>
      </c>
      <c r="L153" s="861"/>
      <c r="M153" s="843">
        <f t="shared" si="13"/>
        <v>0</v>
      </c>
    </row>
    <row r="154" spans="1:13">
      <c r="A154" s="923" t="s">
        <v>1631</v>
      </c>
      <c r="B154" s="1091" t="s">
        <v>498</v>
      </c>
      <c r="C154" s="1164" t="s">
        <v>550</v>
      </c>
      <c r="D154" s="846"/>
      <c r="E154" s="905"/>
      <c r="F154" s="905"/>
      <c r="G154" s="905"/>
      <c r="H154" s="905"/>
      <c r="I154" s="905"/>
      <c r="J154" s="905"/>
      <c r="K154" s="843"/>
      <c r="L154" s="860"/>
      <c r="M154" s="843"/>
    </row>
    <row r="155" spans="1:13">
      <c r="A155" s="925" t="s">
        <v>1632</v>
      </c>
      <c r="B155" s="895" t="s">
        <v>729</v>
      </c>
      <c r="C155" s="1169" t="s">
        <v>559</v>
      </c>
      <c r="D155" s="849" t="s">
        <v>18</v>
      </c>
      <c r="E155" s="906">
        <v>174</v>
      </c>
      <c r="F155" s="906">
        <v>95</v>
      </c>
      <c r="G155" s="906">
        <v>72</v>
      </c>
      <c r="H155" s="906"/>
      <c r="I155" s="906">
        <v>5</v>
      </c>
      <c r="J155" s="906">
        <f>5*3</f>
        <v>15</v>
      </c>
      <c r="K155" s="843">
        <f t="shared" si="12"/>
        <v>361</v>
      </c>
      <c r="L155" s="861"/>
      <c r="M155" s="843">
        <f t="shared" si="13"/>
        <v>0</v>
      </c>
    </row>
    <row r="156" spans="1:13">
      <c r="A156" s="927" t="s">
        <v>1633</v>
      </c>
      <c r="B156" s="1092" t="s">
        <v>750</v>
      </c>
      <c r="C156" s="1166" t="s">
        <v>2258</v>
      </c>
      <c r="D156" s="914"/>
      <c r="E156" s="878"/>
      <c r="F156" s="878"/>
      <c r="G156" s="878"/>
      <c r="H156" s="878"/>
      <c r="I156" s="878"/>
      <c r="J156" s="878"/>
      <c r="K156" s="843"/>
      <c r="L156" s="842"/>
      <c r="M156" s="843"/>
    </row>
    <row r="157" spans="1:13">
      <c r="A157" s="919" t="s">
        <v>1634</v>
      </c>
      <c r="B157" s="836" t="s">
        <v>679</v>
      </c>
      <c r="C157" s="1164"/>
      <c r="D157" s="856" t="s">
        <v>11</v>
      </c>
      <c r="E157" s="892"/>
      <c r="F157" s="892">
        <v>763.06</v>
      </c>
      <c r="G157" s="892">
        <v>1625.67</v>
      </c>
      <c r="H157" s="892">
        <v>222.35</v>
      </c>
      <c r="I157" s="892">
        <v>769</v>
      </c>
      <c r="J157" s="892">
        <v>2418</v>
      </c>
      <c r="K157" s="843">
        <f t="shared" si="12"/>
        <v>5798.08</v>
      </c>
      <c r="L157" s="844"/>
      <c r="M157" s="843">
        <f t="shared" si="13"/>
        <v>0</v>
      </c>
    </row>
    <row r="158" spans="1:13">
      <c r="A158" s="919" t="s">
        <v>1635</v>
      </c>
      <c r="B158" s="836" t="s">
        <v>843</v>
      </c>
      <c r="C158" s="1164"/>
      <c r="D158" s="856" t="s">
        <v>11</v>
      </c>
      <c r="E158" s="892"/>
      <c r="F158" s="892">
        <v>371.17</v>
      </c>
      <c r="G158" s="892">
        <v>1029.5899999999999</v>
      </c>
      <c r="H158" s="892"/>
      <c r="I158" s="892"/>
      <c r="J158" s="892"/>
      <c r="K158" s="843">
        <f t="shared" si="12"/>
        <v>1400.76</v>
      </c>
      <c r="L158" s="844"/>
      <c r="M158" s="843">
        <f t="shared" si="13"/>
        <v>0</v>
      </c>
    </row>
    <row r="159" spans="1:13">
      <c r="A159" s="913" t="s">
        <v>1636</v>
      </c>
      <c r="B159" s="1093" t="s">
        <v>756</v>
      </c>
      <c r="C159" s="1164" t="s">
        <v>2534</v>
      </c>
      <c r="D159" s="856"/>
      <c r="E159" s="892"/>
      <c r="F159" s="892"/>
      <c r="G159" s="892"/>
      <c r="H159" s="892"/>
      <c r="I159" s="892"/>
      <c r="J159" s="892"/>
      <c r="K159" s="843"/>
      <c r="L159" s="843"/>
      <c r="M159" s="843"/>
    </row>
    <row r="160" spans="1:13">
      <c r="A160" s="919" t="s">
        <v>1637</v>
      </c>
      <c r="B160" s="836" t="s">
        <v>2303</v>
      </c>
      <c r="C160" s="1164"/>
      <c r="D160" s="856" t="s">
        <v>11</v>
      </c>
      <c r="E160" s="1430">
        <v>2959</v>
      </c>
      <c r="F160" s="892"/>
      <c r="G160" s="892"/>
      <c r="H160" s="892"/>
      <c r="I160" s="892"/>
      <c r="J160" s="892"/>
      <c r="K160" s="843">
        <f t="shared" si="12"/>
        <v>2959</v>
      </c>
      <c r="L160" s="844"/>
      <c r="M160" s="843">
        <f t="shared" si="13"/>
        <v>0</v>
      </c>
    </row>
    <row r="161" spans="1:13">
      <c r="A161" s="919" t="s">
        <v>1638</v>
      </c>
      <c r="B161" s="836" t="s">
        <v>2304</v>
      </c>
      <c r="C161" s="1164"/>
      <c r="D161" s="856" t="s">
        <v>11</v>
      </c>
      <c r="E161" s="1430">
        <v>83</v>
      </c>
      <c r="F161" s="892"/>
      <c r="G161" s="892"/>
      <c r="H161" s="892"/>
      <c r="I161" s="892"/>
      <c r="J161" s="892"/>
      <c r="K161" s="843">
        <f t="shared" si="12"/>
        <v>83</v>
      </c>
      <c r="L161" s="844"/>
      <c r="M161" s="843">
        <f t="shared" si="13"/>
        <v>0</v>
      </c>
    </row>
    <row r="162" spans="1:13">
      <c r="A162" s="919" t="s">
        <v>1639</v>
      </c>
      <c r="B162" s="836" t="s">
        <v>757</v>
      </c>
      <c r="C162" s="1164"/>
      <c r="D162" s="856" t="s">
        <v>11</v>
      </c>
      <c r="E162" s="1430">
        <v>3344.74</v>
      </c>
      <c r="F162" s="892"/>
      <c r="G162" s="892"/>
      <c r="H162" s="892"/>
      <c r="I162" s="892"/>
      <c r="J162" s="892"/>
      <c r="K162" s="843">
        <f t="shared" si="12"/>
        <v>3344.74</v>
      </c>
      <c r="L162" s="844"/>
      <c r="M162" s="843">
        <f t="shared" si="13"/>
        <v>0</v>
      </c>
    </row>
    <row r="163" spans="1:13">
      <c r="A163" s="919" t="s">
        <v>1640</v>
      </c>
      <c r="B163" s="836" t="s">
        <v>758</v>
      </c>
      <c r="C163" s="1164"/>
      <c r="D163" s="856" t="s">
        <v>11</v>
      </c>
      <c r="E163" s="1430">
        <v>128</v>
      </c>
      <c r="F163" s="892"/>
      <c r="G163" s="892"/>
      <c r="H163" s="892"/>
      <c r="I163" s="892"/>
      <c r="J163" s="892"/>
      <c r="K163" s="843">
        <f t="shared" si="12"/>
        <v>128</v>
      </c>
      <c r="L163" s="844"/>
      <c r="M163" s="843">
        <f t="shared" si="13"/>
        <v>0</v>
      </c>
    </row>
    <row r="164" spans="1:13">
      <c r="A164" s="919" t="s">
        <v>1641</v>
      </c>
      <c r="B164" s="836" t="s">
        <v>759</v>
      </c>
      <c r="C164" s="1164"/>
      <c r="D164" s="856" t="s">
        <v>11</v>
      </c>
      <c r="E164" s="1430">
        <v>613</v>
      </c>
      <c r="F164" s="892"/>
      <c r="G164" s="892"/>
      <c r="H164" s="892"/>
      <c r="I164" s="892"/>
      <c r="J164" s="892"/>
      <c r="K164" s="843">
        <f t="shared" si="12"/>
        <v>613</v>
      </c>
      <c r="L164" s="844"/>
      <c r="M164" s="843">
        <f t="shared" si="13"/>
        <v>0</v>
      </c>
    </row>
    <row r="165" spans="1:13">
      <c r="A165" s="919" t="s">
        <v>1642</v>
      </c>
      <c r="B165" s="836" t="s">
        <v>2312</v>
      </c>
      <c r="C165" s="1164"/>
      <c r="D165" s="856" t="s">
        <v>11</v>
      </c>
      <c r="E165" s="1430">
        <v>12</v>
      </c>
      <c r="F165" s="892"/>
      <c r="G165" s="892"/>
      <c r="H165" s="892"/>
      <c r="I165" s="892"/>
      <c r="J165" s="892"/>
      <c r="K165" s="843">
        <f t="shared" si="12"/>
        <v>12</v>
      </c>
      <c r="L165" s="844"/>
      <c r="M165" s="843">
        <f t="shared" si="13"/>
        <v>0</v>
      </c>
    </row>
    <row r="166" spans="1:13">
      <c r="A166" s="913" t="s">
        <v>1643</v>
      </c>
      <c r="B166" s="1093" t="s">
        <v>761</v>
      </c>
      <c r="C166" s="1164" t="s">
        <v>2259</v>
      </c>
      <c r="D166" s="856"/>
      <c r="E166" s="892"/>
      <c r="F166" s="892"/>
      <c r="G166" s="892"/>
      <c r="H166" s="892"/>
      <c r="I166" s="892"/>
      <c r="J166" s="892"/>
      <c r="K166" s="843"/>
      <c r="L166" s="843"/>
      <c r="M166" s="843"/>
    </row>
    <row r="167" spans="1:13">
      <c r="A167" s="855" t="s">
        <v>1644</v>
      </c>
      <c r="B167" s="836" t="s">
        <v>2305</v>
      </c>
      <c r="C167" s="1164"/>
      <c r="D167" s="856"/>
      <c r="E167" s="892"/>
      <c r="F167" s="892"/>
      <c r="G167" s="892">
        <v>3</v>
      </c>
      <c r="H167" s="892"/>
      <c r="I167" s="892"/>
      <c r="J167" s="892"/>
      <c r="K167" s="843">
        <f t="shared" si="12"/>
        <v>3</v>
      </c>
      <c r="L167" s="844"/>
      <c r="M167" s="843">
        <f t="shared" si="13"/>
        <v>0</v>
      </c>
    </row>
    <row r="168" spans="1:13">
      <c r="A168" s="855" t="s">
        <v>1645</v>
      </c>
      <c r="B168" s="836" t="s">
        <v>2306</v>
      </c>
      <c r="C168" s="1164"/>
      <c r="D168" s="856" t="s">
        <v>18</v>
      </c>
      <c r="E168" s="892">
        <v>6</v>
      </c>
      <c r="F168" s="892">
        <v>8</v>
      </c>
      <c r="G168" s="892">
        <v>9</v>
      </c>
      <c r="H168" s="892"/>
      <c r="I168" s="892"/>
      <c r="J168" s="892"/>
      <c r="K168" s="843">
        <f t="shared" si="12"/>
        <v>23</v>
      </c>
      <c r="L168" s="844"/>
      <c r="M168" s="843">
        <f t="shared" si="13"/>
        <v>0</v>
      </c>
    </row>
    <row r="169" spans="1:13">
      <c r="A169" s="855" t="s">
        <v>1646</v>
      </c>
      <c r="B169" s="836" t="s">
        <v>2307</v>
      </c>
      <c r="C169" s="1164"/>
      <c r="D169" s="856" t="s">
        <v>18</v>
      </c>
      <c r="E169" s="892">
        <v>4</v>
      </c>
      <c r="F169" s="892">
        <v>4</v>
      </c>
      <c r="G169" s="892">
        <v>10</v>
      </c>
      <c r="H169" s="892"/>
      <c r="I169" s="892"/>
      <c r="J169" s="892"/>
      <c r="K169" s="843">
        <f t="shared" si="12"/>
        <v>18</v>
      </c>
      <c r="L169" s="844"/>
      <c r="M169" s="843">
        <f t="shared" si="13"/>
        <v>0</v>
      </c>
    </row>
    <row r="170" spans="1:13">
      <c r="A170" s="855" t="s">
        <v>1647</v>
      </c>
      <c r="B170" s="836" t="s">
        <v>2308</v>
      </c>
      <c r="C170" s="1164"/>
      <c r="D170" s="856" t="s">
        <v>18</v>
      </c>
      <c r="E170" s="892"/>
      <c r="F170" s="892">
        <v>2</v>
      </c>
      <c r="G170" s="892">
        <v>1</v>
      </c>
      <c r="H170" s="892"/>
      <c r="I170" s="892"/>
      <c r="J170" s="892"/>
      <c r="K170" s="843">
        <f t="shared" si="12"/>
        <v>3</v>
      </c>
      <c r="L170" s="844"/>
      <c r="M170" s="843">
        <f t="shared" si="13"/>
        <v>0</v>
      </c>
    </row>
    <row r="171" spans="1:13">
      <c r="A171" s="855" t="s">
        <v>1648</v>
      </c>
      <c r="B171" s="836" t="s">
        <v>2309</v>
      </c>
      <c r="C171" s="1164"/>
      <c r="D171" s="856" t="s">
        <v>18</v>
      </c>
      <c r="E171" s="892"/>
      <c r="F171" s="892"/>
      <c r="G171" s="892">
        <v>1</v>
      </c>
      <c r="H171" s="892"/>
      <c r="I171" s="892"/>
      <c r="J171" s="892"/>
      <c r="K171" s="843">
        <f t="shared" si="12"/>
        <v>1</v>
      </c>
      <c r="L171" s="844"/>
      <c r="M171" s="843">
        <f t="shared" si="13"/>
        <v>0</v>
      </c>
    </row>
    <row r="172" spans="1:13">
      <c r="A172" s="855" t="s">
        <v>1649</v>
      </c>
      <c r="B172" s="836" t="s">
        <v>2310</v>
      </c>
      <c r="C172" s="1164"/>
      <c r="D172" s="856" t="s">
        <v>18</v>
      </c>
      <c r="E172" s="892"/>
      <c r="F172" s="892">
        <v>4</v>
      </c>
      <c r="G172" s="892"/>
      <c r="H172" s="892"/>
      <c r="I172" s="892"/>
      <c r="J172" s="892"/>
      <c r="K172" s="843">
        <f t="shared" si="12"/>
        <v>4</v>
      </c>
      <c r="L172" s="844"/>
      <c r="M172" s="843">
        <f t="shared" si="13"/>
        <v>0</v>
      </c>
    </row>
    <row r="173" spans="1:13">
      <c r="A173" s="855" t="s">
        <v>1650</v>
      </c>
      <c r="B173" s="836" t="s">
        <v>2311</v>
      </c>
      <c r="C173" s="1164"/>
      <c r="D173" s="856" t="s">
        <v>18</v>
      </c>
      <c r="E173" s="892"/>
      <c r="F173" s="892">
        <v>1</v>
      </c>
      <c r="G173" s="892"/>
      <c r="H173" s="892"/>
      <c r="I173" s="892"/>
      <c r="J173" s="892"/>
      <c r="K173" s="843">
        <f t="shared" si="12"/>
        <v>1</v>
      </c>
      <c r="L173" s="844"/>
      <c r="M173" s="843">
        <f t="shared" si="13"/>
        <v>0</v>
      </c>
    </row>
    <row r="174" spans="1:13">
      <c r="A174" s="855" t="s">
        <v>1651</v>
      </c>
      <c r="B174" s="836" t="s">
        <v>752</v>
      </c>
      <c r="C174" s="1164"/>
      <c r="D174" s="856" t="s">
        <v>18</v>
      </c>
      <c r="E174" s="892">
        <v>2</v>
      </c>
      <c r="F174" s="892"/>
      <c r="G174" s="892"/>
      <c r="H174" s="892"/>
      <c r="I174" s="892"/>
      <c r="J174" s="892"/>
      <c r="K174" s="843">
        <f t="shared" si="12"/>
        <v>2</v>
      </c>
      <c r="L174" s="844"/>
      <c r="M174" s="843">
        <f t="shared" si="13"/>
        <v>0</v>
      </c>
    </row>
    <row r="175" spans="1:13">
      <c r="A175" s="855" t="s">
        <v>1652</v>
      </c>
      <c r="B175" s="836" t="s">
        <v>753</v>
      </c>
      <c r="C175" s="1164"/>
      <c r="D175" s="856" t="s">
        <v>18</v>
      </c>
      <c r="E175" s="892">
        <v>3</v>
      </c>
      <c r="F175" s="892"/>
      <c r="G175" s="892"/>
      <c r="H175" s="892"/>
      <c r="I175" s="892"/>
      <c r="J175" s="892"/>
      <c r="K175" s="843">
        <f t="shared" si="12"/>
        <v>3</v>
      </c>
      <c r="L175" s="844"/>
      <c r="M175" s="843">
        <f t="shared" si="13"/>
        <v>0</v>
      </c>
    </row>
    <row r="176" spans="1:13">
      <c r="A176" s="855" t="s">
        <v>1653</v>
      </c>
      <c r="B176" s="836" t="s">
        <v>754</v>
      </c>
      <c r="C176" s="1164"/>
      <c r="D176" s="856" t="s">
        <v>18</v>
      </c>
      <c r="E176" s="892">
        <v>1</v>
      </c>
      <c r="F176" s="892"/>
      <c r="G176" s="892"/>
      <c r="H176" s="892"/>
      <c r="I176" s="892"/>
      <c r="J176" s="892"/>
      <c r="K176" s="843">
        <f t="shared" si="12"/>
        <v>1</v>
      </c>
      <c r="L176" s="844"/>
      <c r="M176" s="843">
        <f t="shared" si="13"/>
        <v>0</v>
      </c>
    </row>
    <row r="177" spans="1:13">
      <c r="A177" s="855" t="s">
        <v>1654</v>
      </c>
      <c r="B177" s="836" t="s">
        <v>755</v>
      </c>
      <c r="C177" s="1164"/>
      <c r="D177" s="856" t="s">
        <v>18</v>
      </c>
      <c r="E177" s="892">
        <v>2</v>
      </c>
      <c r="F177" s="892"/>
      <c r="G177" s="892"/>
      <c r="H177" s="892"/>
      <c r="I177" s="892"/>
      <c r="J177" s="892"/>
      <c r="K177" s="843">
        <f t="shared" si="12"/>
        <v>2</v>
      </c>
      <c r="L177" s="844"/>
      <c r="M177" s="843">
        <f t="shared" si="13"/>
        <v>0</v>
      </c>
    </row>
    <row r="178" spans="1:13">
      <c r="A178" s="855" t="s">
        <v>1655</v>
      </c>
      <c r="B178" s="836" t="s">
        <v>2298</v>
      </c>
      <c r="C178" s="1164"/>
      <c r="D178" s="856" t="s">
        <v>18</v>
      </c>
      <c r="E178" s="892">
        <v>6</v>
      </c>
      <c r="F178" s="892"/>
      <c r="G178" s="892"/>
      <c r="H178" s="892"/>
      <c r="I178" s="892"/>
      <c r="J178" s="892"/>
      <c r="K178" s="843">
        <f t="shared" si="12"/>
        <v>6</v>
      </c>
      <c r="L178" s="844"/>
      <c r="M178" s="843">
        <f t="shared" si="13"/>
        <v>0</v>
      </c>
    </row>
    <row r="179" spans="1:13">
      <c r="A179" s="855" t="s">
        <v>1656</v>
      </c>
      <c r="B179" s="836" t="s">
        <v>2299</v>
      </c>
      <c r="C179" s="1164"/>
      <c r="D179" s="856" t="s">
        <v>18</v>
      </c>
      <c r="E179" s="892">
        <v>20</v>
      </c>
      <c r="F179" s="892"/>
      <c r="G179" s="892"/>
      <c r="H179" s="892"/>
      <c r="I179" s="892"/>
      <c r="J179" s="892"/>
      <c r="K179" s="843">
        <f t="shared" si="12"/>
        <v>20</v>
      </c>
      <c r="L179" s="844"/>
      <c r="M179" s="843">
        <f t="shared" si="13"/>
        <v>0</v>
      </c>
    </row>
    <row r="180" spans="1:13">
      <c r="A180" s="855" t="s">
        <v>1657</v>
      </c>
      <c r="B180" s="836" t="s">
        <v>2300</v>
      </c>
      <c r="C180" s="1164"/>
      <c r="D180" s="856" t="s">
        <v>18</v>
      </c>
      <c r="E180" s="892">
        <v>53</v>
      </c>
      <c r="F180" s="892"/>
      <c r="G180" s="892"/>
      <c r="H180" s="892"/>
      <c r="I180" s="892"/>
      <c r="J180" s="892"/>
      <c r="K180" s="843">
        <f t="shared" si="12"/>
        <v>53</v>
      </c>
      <c r="L180" s="844"/>
      <c r="M180" s="843">
        <f t="shared" si="13"/>
        <v>0</v>
      </c>
    </row>
    <row r="181" spans="1:13">
      <c r="A181" s="855" t="s">
        <v>1658</v>
      </c>
      <c r="B181" s="836" t="s">
        <v>2301</v>
      </c>
      <c r="C181" s="1164"/>
      <c r="D181" s="856" t="s">
        <v>18</v>
      </c>
      <c r="E181" s="892">
        <v>1</v>
      </c>
      <c r="F181" s="892"/>
      <c r="G181" s="892"/>
      <c r="H181" s="892"/>
      <c r="I181" s="892"/>
      <c r="J181" s="892"/>
      <c r="K181" s="843">
        <f t="shared" si="12"/>
        <v>1</v>
      </c>
      <c r="L181" s="844"/>
      <c r="M181" s="843">
        <f t="shared" si="13"/>
        <v>0</v>
      </c>
    </row>
    <row r="182" spans="1:13">
      <c r="A182" s="855" t="s">
        <v>1659</v>
      </c>
      <c r="B182" s="836" t="s">
        <v>2302</v>
      </c>
      <c r="C182" s="1164"/>
      <c r="D182" s="856" t="s">
        <v>18</v>
      </c>
      <c r="E182" s="892">
        <v>1</v>
      </c>
      <c r="F182" s="892"/>
      <c r="G182" s="892"/>
      <c r="H182" s="892"/>
      <c r="I182" s="892"/>
      <c r="J182" s="892"/>
      <c r="K182" s="843">
        <f t="shared" si="12"/>
        <v>1</v>
      </c>
      <c r="L182" s="844"/>
      <c r="M182" s="843">
        <f t="shared" si="13"/>
        <v>0</v>
      </c>
    </row>
    <row r="183" spans="1:13">
      <c r="A183" s="913" t="s">
        <v>1660</v>
      </c>
      <c r="B183" s="1093" t="s">
        <v>760</v>
      </c>
      <c r="C183" s="1164"/>
      <c r="D183" s="856"/>
      <c r="E183" s="892"/>
      <c r="F183" s="892"/>
      <c r="G183" s="892"/>
      <c r="H183" s="892"/>
      <c r="I183" s="892"/>
      <c r="J183" s="892"/>
      <c r="K183" s="843"/>
      <c r="L183" s="843"/>
      <c r="M183" s="843"/>
    </row>
    <row r="184" spans="1:13">
      <c r="A184" s="855" t="s">
        <v>1661</v>
      </c>
      <c r="B184" s="836" t="s">
        <v>762</v>
      </c>
      <c r="C184" s="1164" t="s">
        <v>396</v>
      </c>
      <c r="D184" s="856" t="s">
        <v>18</v>
      </c>
      <c r="E184" s="892">
        <v>42</v>
      </c>
      <c r="F184" s="892">
        <v>26</v>
      </c>
      <c r="G184" s="892"/>
      <c r="H184" s="892"/>
      <c r="I184" s="892"/>
      <c r="J184" s="892"/>
      <c r="K184" s="843">
        <f t="shared" si="12"/>
        <v>68</v>
      </c>
      <c r="L184" s="844"/>
      <c r="M184" s="843">
        <f t="shared" si="13"/>
        <v>0</v>
      </c>
    </row>
    <row r="185" spans="1:13">
      <c r="A185" s="855" t="s">
        <v>1662</v>
      </c>
      <c r="B185" s="836" t="s">
        <v>763</v>
      </c>
      <c r="C185" s="1164" t="s">
        <v>396</v>
      </c>
      <c r="D185" s="856" t="s">
        <v>18</v>
      </c>
      <c r="E185" s="892">
        <v>7</v>
      </c>
      <c r="F185" s="892">
        <v>8</v>
      </c>
      <c r="G185" s="892"/>
      <c r="H185" s="892"/>
      <c r="I185" s="892"/>
      <c r="J185" s="892"/>
      <c r="K185" s="843">
        <f t="shared" si="12"/>
        <v>15</v>
      </c>
      <c r="L185" s="844"/>
      <c r="M185" s="843">
        <f t="shared" si="13"/>
        <v>0</v>
      </c>
    </row>
    <row r="186" spans="1:13">
      <c r="A186" s="855" t="s">
        <v>1663</v>
      </c>
      <c r="B186" s="836" t="s">
        <v>764</v>
      </c>
      <c r="C186" s="1164" t="s">
        <v>396</v>
      </c>
      <c r="D186" s="856" t="s">
        <v>18</v>
      </c>
      <c r="E186" s="892">
        <v>5</v>
      </c>
      <c r="F186" s="892"/>
      <c r="G186" s="892"/>
      <c r="H186" s="892"/>
      <c r="I186" s="892"/>
      <c r="J186" s="892"/>
      <c r="K186" s="843">
        <f t="shared" si="12"/>
        <v>5</v>
      </c>
      <c r="L186" s="844"/>
      <c r="M186" s="843">
        <f t="shared" si="13"/>
        <v>0</v>
      </c>
    </row>
    <row r="187" spans="1:13">
      <c r="A187" s="855" t="s">
        <v>1664</v>
      </c>
      <c r="B187" s="836" t="s">
        <v>765</v>
      </c>
      <c r="C187" s="1164" t="s">
        <v>396</v>
      </c>
      <c r="D187" s="856" t="s">
        <v>18</v>
      </c>
      <c r="E187" s="892">
        <v>7</v>
      </c>
      <c r="F187" s="892"/>
      <c r="G187" s="892"/>
      <c r="H187" s="892"/>
      <c r="I187" s="892"/>
      <c r="J187" s="892"/>
      <c r="K187" s="843">
        <f t="shared" ref="K187:K250" si="14">SUM(E187:J187)</f>
        <v>7</v>
      </c>
      <c r="L187" s="844"/>
      <c r="M187" s="843">
        <f t="shared" si="13"/>
        <v>0</v>
      </c>
    </row>
    <row r="188" spans="1:13">
      <c r="A188" s="855" t="s">
        <v>1665</v>
      </c>
      <c r="B188" s="836" t="s">
        <v>881</v>
      </c>
      <c r="C188" s="1164" t="s">
        <v>396</v>
      </c>
      <c r="D188" s="856" t="s">
        <v>18</v>
      </c>
      <c r="E188" s="892"/>
      <c r="F188" s="892"/>
      <c r="G188" s="892">
        <v>1</v>
      </c>
      <c r="H188" s="892"/>
      <c r="I188" s="892"/>
      <c r="J188" s="892"/>
      <c r="K188" s="843">
        <f t="shared" si="14"/>
        <v>1</v>
      </c>
      <c r="L188" s="844"/>
      <c r="M188" s="843">
        <f t="shared" si="13"/>
        <v>0</v>
      </c>
    </row>
    <row r="189" spans="1:13">
      <c r="A189" s="855" t="s">
        <v>1666</v>
      </c>
      <c r="B189" s="836" t="s">
        <v>882</v>
      </c>
      <c r="C189" s="1164" t="s">
        <v>396</v>
      </c>
      <c r="D189" s="856" t="s">
        <v>18</v>
      </c>
      <c r="E189" s="892"/>
      <c r="F189" s="892"/>
      <c r="G189" s="892">
        <v>23</v>
      </c>
      <c r="H189" s="892"/>
      <c r="I189" s="892"/>
      <c r="J189" s="892"/>
      <c r="K189" s="843">
        <f t="shared" si="14"/>
        <v>23</v>
      </c>
      <c r="L189" s="844"/>
      <c r="M189" s="843">
        <f t="shared" si="13"/>
        <v>0</v>
      </c>
    </row>
    <row r="190" spans="1:13">
      <c r="A190" s="855" t="s">
        <v>1667</v>
      </c>
      <c r="B190" s="836" t="s">
        <v>883</v>
      </c>
      <c r="C190" s="1164" t="s">
        <v>396</v>
      </c>
      <c r="D190" s="856" t="s">
        <v>18</v>
      </c>
      <c r="E190" s="892"/>
      <c r="F190" s="892"/>
      <c r="G190" s="892">
        <v>6</v>
      </c>
      <c r="H190" s="892"/>
      <c r="I190" s="892"/>
      <c r="J190" s="892"/>
      <c r="K190" s="843">
        <f t="shared" si="14"/>
        <v>6</v>
      </c>
      <c r="L190" s="844"/>
      <c r="M190" s="843">
        <f t="shared" si="13"/>
        <v>0</v>
      </c>
    </row>
    <row r="191" spans="1:13">
      <c r="A191" s="855" t="s">
        <v>1668</v>
      </c>
      <c r="B191" s="836" t="s">
        <v>2313</v>
      </c>
      <c r="C191" s="1164" t="s">
        <v>396</v>
      </c>
      <c r="D191" s="856" t="s">
        <v>18</v>
      </c>
      <c r="E191" s="892"/>
      <c r="F191" s="892"/>
      <c r="G191" s="892"/>
      <c r="H191" s="892"/>
      <c r="I191" s="892">
        <v>1</v>
      </c>
      <c r="J191" s="892">
        <v>1</v>
      </c>
      <c r="K191" s="843">
        <f t="shared" si="14"/>
        <v>2</v>
      </c>
      <c r="L191" s="844"/>
      <c r="M191" s="843">
        <f t="shared" si="13"/>
        <v>0</v>
      </c>
    </row>
    <row r="192" spans="1:13">
      <c r="A192" s="855" t="s">
        <v>1669</v>
      </c>
      <c r="B192" s="836" t="s">
        <v>954</v>
      </c>
      <c r="C192" s="1164" t="s">
        <v>396</v>
      </c>
      <c r="D192" s="856" t="s">
        <v>18</v>
      </c>
      <c r="E192" s="892"/>
      <c r="F192" s="892"/>
      <c r="G192" s="892"/>
      <c r="H192" s="892"/>
      <c r="I192" s="892"/>
      <c r="J192" s="892">
        <f>1+1</f>
        <v>2</v>
      </c>
      <c r="K192" s="843">
        <f t="shared" si="14"/>
        <v>2</v>
      </c>
      <c r="L192" s="844"/>
      <c r="M192" s="843">
        <f t="shared" si="13"/>
        <v>0</v>
      </c>
    </row>
    <row r="193" spans="1:13">
      <c r="A193" s="855" t="s">
        <v>1670</v>
      </c>
      <c r="B193" s="836" t="s">
        <v>886</v>
      </c>
      <c r="C193" s="1164" t="s">
        <v>396</v>
      </c>
      <c r="D193" s="856" t="s">
        <v>18</v>
      </c>
      <c r="E193" s="892"/>
      <c r="F193" s="892"/>
      <c r="G193" s="892">
        <v>2</v>
      </c>
      <c r="H193" s="892"/>
      <c r="I193" s="892"/>
      <c r="J193" s="892"/>
      <c r="K193" s="843">
        <f t="shared" si="14"/>
        <v>2</v>
      </c>
      <c r="L193" s="844"/>
      <c r="M193" s="843">
        <f t="shared" si="13"/>
        <v>0</v>
      </c>
    </row>
    <row r="194" spans="1:13">
      <c r="A194" s="855" t="s">
        <v>1671</v>
      </c>
      <c r="B194" s="836" t="s">
        <v>689</v>
      </c>
      <c r="C194" s="1164" t="s">
        <v>396</v>
      </c>
      <c r="D194" s="856" t="s">
        <v>18</v>
      </c>
      <c r="E194" s="892">
        <v>6</v>
      </c>
      <c r="F194" s="892"/>
      <c r="G194" s="892"/>
      <c r="H194" s="892"/>
      <c r="I194" s="892"/>
      <c r="J194" s="892"/>
      <c r="K194" s="843">
        <f t="shared" si="14"/>
        <v>6</v>
      </c>
      <c r="L194" s="844"/>
      <c r="M194" s="843">
        <f t="shared" si="13"/>
        <v>0</v>
      </c>
    </row>
    <row r="195" spans="1:13">
      <c r="A195" s="855" t="s">
        <v>1672</v>
      </c>
      <c r="B195" s="836" t="s">
        <v>686</v>
      </c>
      <c r="C195" s="1164" t="s">
        <v>396</v>
      </c>
      <c r="D195" s="856" t="s">
        <v>18</v>
      </c>
      <c r="E195" s="892">
        <v>18</v>
      </c>
      <c r="F195" s="892">
        <v>2</v>
      </c>
      <c r="G195" s="892"/>
      <c r="H195" s="892"/>
      <c r="I195" s="892"/>
      <c r="J195" s="892"/>
      <c r="K195" s="843">
        <f t="shared" si="14"/>
        <v>20</v>
      </c>
      <c r="L195" s="844"/>
      <c r="M195" s="843">
        <f t="shared" si="13"/>
        <v>0</v>
      </c>
    </row>
    <row r="196" spans="1:13">
      <c r="A196" s="855" t="s">
        <v>1673</v>
      </c>
      <c r="B196" s="836" t="s">
        <v>2753</v>
      </c>
      <c r="C196" s="1164" t="s">
        <v>396</v>
      </c>
      <c r="D196" s="856" t="s">
        <v>18</v>
      </c>
      <c r="E196" s="892">
        <v>3</v>
      </c>
      <c r="F196" s="892"/>
      <c r="G196" s="892"/>
      <c r="H196" s="892"/>
      <c r="I196" s="892"/>
      <c r="J196" s="892"/>
      <c r="K196" s="843">
        <f t="shared" si="14"/>
        <v>3</v>
      </c>
      <c r="L196" s="844"/>
      <c r="M196" s="843">
        <f t="shared" si="13"/>
        <v>0</v>
      </c>
    </row>
    <row r="197" spans="1:13">
      <c r="A197" s="855" t="s">
        <v>1674</v>
      </c>
      <c r="B197" s="836" t="s">
        <v>2754</v>
      </c>
      <c r="C197" s="1164" t="s">
        <v>396</v>
      </c>
      <c r="D197" s="856" t="s">
        <v>18</v>
      </c>
      <c r="E197" s="892"/>
      <c r="F197" s="892"/>
      <c r="G197" s="892"/>
      <c r="H197" s="892">
        <v>1</v>
      </c>
      <c r="I197" s="892">
        <f>1+3</f>
        <v>4</v>
      </c>
      <c r="J197" s="892">
        <f>2+2+3</f>
        <v>7</v>
      </c>
      <c r="K197" s="843">
        <f t="shared" si="14"/>
        <v>12</v>
      </c>
      <c r="L197" s="844"/>
      <c r="M197" s="843">
        <f t="shared" si="13"/>
        <v>0</v>
      </c>
    </row>
    <row r="198" spans="1:13">
      <c r="A198" s="855" t="s">
        <v>1675</v>
      </c>
      <c r="B198" s="836" t="s">
        <v>777</v>
      </c>
      <c r="C198" s="1164" t="s">
        <v>396</v>
      </c>
      <c r="D198" s="856" t="s">
        <v>18</v>
      </c>
      <c r="E198" s="892">
        <v>1</v>
      </c>
      <c r="F198" s="892"/>
      <c r="G198" s="892"/>
      <c r="H198" s="892"/>
      <c r="I198" s="892"/>
      <c r="J198" s="892"/>
      <c r="K198" s="843">
        <f t="shared" si="14"/>
        <v>1</v>
      </c>
      <c r="L198" s="844"/>
      <c r="M198" s="843">
        <f t="shared" si="13"/>
        <v>0</v>
      </c>
    </row>
    <row r="199" spans="1:13">
      <c r="A199" s="855" t="s">
        <v>1676</v>
      </c>
      <c r="B199" s="836" t="s">
        <v>915</v>
      </c>
      <c r="C199" s="1164" t="s">
        <v>396</v>
      </c>
      <c r="D199" s="856" t="s">
        <v>18</v>
      </c>
      <c r="E199" s="892">
        <v>2</v>
      </c>
      <c r="F199" s="892"/>
      <c r="G199" s="892"/>
      <c r="H199" s="892"/>
      <c r="I199" s="892"/>
      <c r="J199" s="892"/>
      <c r="K199" s="843">
        <f t="shared" si="14"/>
        <v>2</v>
      </c>
      <c r="L199" s="844"/>
      <c r="M199" s="843">
        <f t="shared" si="13"/>
        <v>0</v>
      </c>
    </row>
    <row r="200" spans="1:13">
      <c r="A200" s="855" t="s">
        <v>1677</v>
      </c>
      <c r="B200" s="836" t="s">
        <v>2755</v>
      </c>
      <c r="C200" s="1164" t="s">
        <v>396</v>
      </c>
      <c r="D200" s="856" t="s">
        <v>18</v>
      </c>
      <c r="E200" s="892">
        <v>2</v>
      </c>
      <c r="F200" s="892">
        <v>2</v>
      </c>
      <c r="G200" s="892"/>
      <c r="H200" s="892"/>
      <c r="I200" s="892"/>
      <c r="J200" s="892"/>
      <c r="K200" s="843">
        <f t="shared" si="14"/>
        <v>4</v>
      </c>
      <c r="L200" s="844"/>
      <c r="M200" s="843">
        <f t="shared" si="13"/>
        <v>0</v>
      </c>
    </row>
    <row r="201" spans="1:13">
      <c r="A201" s="855" t="s">
        <v>1678</v>
      </c>
      <c r="B201" s="836" t="s">
        <v>2755</v>
      </c>
      <c r="C201" s="1164" t="s">
        <v>396</v>
      </c>
      <c r="D201" s="856" t="s">
        <v>18</v>
      </c>
      <c r="E201" s="892">
        <v>17</v>
      </c>
      <c r="F201" s="892">
        <v>15</v>
      </c>
      <c r="G201" s="892"/>
      <c r="H201" s="892"/>
      <c r="I201" s="892"/>
      <c r="J201" s="892"/>
      <c r="K201" s="843">
        <f t="shared" si="14"/>
        <v>32</v>
      </c>
      <c r="L201" s="844"/>
      <c r="M201" s="843">
        <f t="shared" si="13"/>
        <v>0</v>
      </c>
    </row>
    <row r="202" spans="1:13">
      <c r="A202" s="855" t="s">
        <v>1679</v>
      </c>
      <c r="B202" s="836" t="s">
        <v>2756</v>
      </c>
      <c r="C202" s="1164" t="s">
        <v>396</v>
      </c>
      <c r="D202" s="856" t="s">
        <v>18</v>
      </c>
      <c r="E202" s="892">
        <v>9</v>
      </c>
      <c r="F202" s="892">
        <v>2</v>
      </c>
      <c r="G202" s="892"/>
      <c r="H202" s="892"/>
      <c r="I202" s="892"/>
      <c r="J202" s="892"/>
      <c r="K202" s="843">
        <f t="shared" si="14"/>
        <v>11</v>
      </c>
      <c r="L202" s="844"/>
      <c r="M202" s="843">
        <f t="shared" ref="M202:M265" si="15">K202*L202</f>
        <v>0</v>
      </c>
    </row>
    <row r="203" spans="1:13">
      <c r="A203" s="855" t="s">
        <v>1680</v>
      </c>
      <c r="B203" s="836" t="s">
        <v>2757</v>
      </c>
      <c r="C203" s="1164" t="s">
        <v>396</v>
      </c>
      <c r="D203" s="856" t="s">
        <v>18</v>
      </c>
      <c r="E203" s="892">
        <v>6</v>
      </c>
      <c r="F203" s="892">
        <v>3</v>
      </c>
      <c r="G203" s="892"/>
      <c r="H203" s="892"/>
      <c r="I203" s="892"/>
      <c r="J203" s="892"/>
      <c r="K203" s="843">
        <f t="shared" si="14"/>
        <v>9</v>
      </c>
      <c r="L203" s="844"/>
      <c r="M203" s="843">
        <f t="shared" si="15"/>
        <v>0</v>
      </c>
    </row>
    <row r="204" spans="1:13">
      <c r="A204" s="855" t="s">
        <v>1681</v>
      </c>
      <c r="B204" s="836" t="s">
        <v>2758</v>
      </c>
      <c r="C204" s="1164" t="s">
        <v>396</v>
      </c>
      <c r="D204" s="856" t="s">
        <v>18</v>
      </c>
      <c r="E204" s="892"/>
      <c r="F204" s="892">
        <v>2</v>
      </c>
      <c r="G204" s="892"/>
      <c r="H204" s="892"/>
      <c r="I204" s="892"/>
      <c r="J204" s="892"/>
      <c r="K204" s="843">
        <f t="shared" si="14"/>
        <v>2</v>
      </c>
      <c r="L204" s="844"/>
      <c r="M204" s="843">
        <f t="shared" si="15"/>
        <v>0</v>
      </c>
    </row>
    <row r="205" spans="1:13">
      <c r="A205" s="855" t="s">
        <v>1682</v>
      </c>
      <c r="B205" s="836" t="s">
        <v>2759</v>
      </c>
      <c r="C205" s="1164" t="s">
        <v>396</v>
      </c>
      <c r="D205" s="856" t="s">
        <v>18</v>
      </c>
      <c r="E205" s="892">
        <v>3</v>
      </c>
      <c r="F205" s="892"/>
      <c r="G205" s="892"/>
      <c r="H205" s="892"/>
      <c r="I205" s="892"/>
      <c r="J205" s="892"/>
      <c r="K205" s="843">
        <f t="shared" si="14"/>
        <v>3</v>
      </c>
      <c r="L205" s="844"/>
      <c r="M205" s="843">
        <f t="shared" si="15"/>
        <v>0</v>
      </c>
    </row>
    <row r="206" spans="1:13">
      <c r="A206" s="855" t="s">
        <v>1683</v>
      </c>
      <c r="B206" s="836" t="s">
        <v>2760</v>
      </c>
      <c r="C206" s="1164" t="s">
        <v>396</v>
      </c>
      <c r="D206" s="856" t="s">
        <v>18</v>
      </c>
      <c r="E206" s="892">
        <v>3</v>
      </c>
      <c r="F206" s="892"/>
      <c r="G206" s="892"/>
      <c r="H206" s="892"/>
      <c r="I206" s="892"/>
      <c r="J206" s="892"/>
      <c r="K206" s="843">
        <f t="shared" si="14"/>
        <v>3</v>
      </c>
      <c r="L206" s="844"/>
      <c r="M206" s="843">
        <f t="shared" si="15"/>
        <v>0</v>
      </c>
    </row>
    <row r="207" spans="1:13">
      <c r="A207" s="855" t="s">
        <v>1684</v>
      </c>
      <c r="B207" s="836" t="s">
        <v>2761</v>
      </c>
      <c r="C207" s="1164" t="s">
        <v>396</v>
      </c>
      <c r="D207" s="856" t="s">
        <v>18</v>
      </c>
      <c r="E207" s="892">
        <v>16</v>
      </c>
      <c r="F207" s="892">
        <v>2</v>
      </c>
      <c r="G207" s="892"/>
      <c r="H207" s="892"/>
      <c r="I207" s="892"/>
      <c r="J207" s="892"/>
      <c r="K207" s="843">
        <f t="shared" si="14"/>
        <v>18</v>
      </c>
      <c r="L207" s="844"/>
      <c r="M207" s="843">
        <f t="shared" si="15"/>
        <v>0</v>
      </c>
    </row>
    <row r="208" spans="1:13">
      <c r="A208" s="855" t="s">
        <v>1685</v>
      </c>
      <c r="B208" s="836" t="s">
        <v>2762</v>
      </c>
      <c r="C208" s="1164" t="s">
        <v>396</v>
      </c>
      <c r="D208" s="856" t="s">
        <v>18</v>
      </c>
      <c r="E208" s="892">
        <v>2</v>
      </c>
      <c r="F208" s="892">
        <v>3</v>
      </c>
      <c r="G208" s="892"/>
      <c r="H208" s="892"/>
      <c r="I208" s="892"/>
      <c r="J208" s="892"/>
      <c r="K208" s="843">
        <f t="shared" si="14"/>
        <v>5</v>
      </c>
      <c r="L208" s="844"/>
      <c r="M208" s="843">
        <f t="shared" si="15"/>
        <v>0</v>
      </c>
    </row>
    <row r="209" spans="1:13">
      <c r="A209" s="855" t="s">
        <v>1686</v>
      </c>
      <c r="B209" s="836" t="s">
        <v>778</v>
      </c>
      <c r="C209" s="1164" t="s">
        <v>396</v>
      </c>
      <c r="D209" s="856" t="s">
        <v>18</v>
      </c>
      <c r="E209" s="892">
        <v>3</v>
      </c>
      <c r="F209" s="892">
        <v>4</v>
      </c>
      <c r="G209" s="892">
        <v>4</v>
      </c>
      <c r="H209" s="892"/>
      <c r="I209" s="892"/>
      <c r="J209" s="892"/>
      <c r="K209" s="843">
        <f t="shared" si="14"/>
        <v>11</v>
      </c>
      <c r="L209" s="844"/>
      <c r="M209" s="843">
        <f t="shared" si="15"/>
        <v>0</v>
      </c>
    </row>
    <row r="210" spans="1:13">
      <c r="A210" s="855" t="s">
        <v>1687</v>
      </c>
      <c r="B210" s="836" t="s">
        <v>779</v>
      </c>
      <c r="C210" s="1164" t="s">
        <v>396</v>
      </c>
      <c r="D210" s="856" t="s">
        <v>18</v>
      </c>
      <c r="E210" s="892">
        <v>1</v>
      </c>
      <c r="F210" s="892">
        <v>2</v>
      </c>
      <c r="G210" s="892"/>
      <c r="H210" s="892">
        <v>1</v>
      </c>
      <c r="I210" s="892">
        <v>1</v>
      </c>
      <c r="J210" s="892"/>
      <c r="K210" s="843">
        <f t="shared" si="14"/>
        <v>5</v>
      </c>
      <c r="L210" s="844"/>
      <c r="M210" s="843">
        <f t="shared" si="15"/>
        <v>0</v>
      </c>
    </row>
    <row r="211" spans="1:13">
      <c r="A211" s="855" t="s">
        <v>1688</v>
      </c>
      <c r="B211" s="836" t="s">
        <v>780</v>
      </c>
      <c r="C211" s="1164" t="s">
        <v>396</v>
      </c>
      <c r="D211" s="856" t="s">
        <v>18</v>
      </c>
      <c r="E211" s="892">
        <v>1</v>
      </c>
      <c r="F211" s="892"/>
      <c r="G211" s="892"/>
      <c r="H211" s="892"/>
      <c r="I211" s="892"/>
      <c r="J211" s="892"/>
      <c r="K211" s="843">
        <f t="shared" si="14"/>
        <v>1</v>
      </c>
      <c r="L211" s="844"/>
      <c r="M211" s="843">
        <f t="shared" si="15"/>
        <v>0</v>
      </c>
    </row>
    <row r="212" spans="1:13">
      <c r="A212" s="855" t="s">
        <v>1689</v>
      </c>
      <c r="B212" s="836" t="s">
        <v>781</v>
      </c>
      <c r="C212" s="1164" t="s">
        <v>396</v>
      </c>
      <c r="D212" s="856" t="s">
        <v>18</v>
      </c>
      <c r="E212" s="892">
        <v>3</v>
      </c>
      <c r="F212" s="892">
        <v>2</v>
      </c>
      <c r="G212" s="892"/>
      <c r="H212" s="892"/>
      <c r="I212" s="892"/>
      <c r="J212" s="892"/>
      <c r="K212" s="843">
        <f t="shared" si="14"/>
        <v>5</v>
      </c>
      <c r="L212" s="844"/>
      <c r="M212" s="843">
        <f t="shared" si="15"/>
        <v>0</v>
      </c>
    </row>
    <row r="213" spans="1:13">
      <c r="A213" s="855" t="s">
        <v>1690</v>
      </c>
      <c r="B213" s="836" t="s">
        <v>766</v>
      </c>
      <c r="C213" s="1164" t="s">
        <v>396</v>
      </c>
      <c r="D213" s="856" t="s">
        <v>18</v>
      </c>
      <c r="E213" s="892">
        <v>11</v>
      </c>
      <c r="F213" s="892">
        <v>8</v>
      </c>
      <c r="G213" s="892">
        <v>2</v>
      </c>
      <c r="H213" s="892"/>
      <c r="I213" s="892"/>
      <c r="J213" s="892"/>
      <c r="K213" s="843">
        <f t="shared" si="14"/>
        <v>21</v>
      </c>
      <c r="L213" s="844"/>
      <c r="M213" s="843">
        <f t="shared" si="15"/>
        <v>0</v>
      </c>
    </row>
    <row r="214" spans="1:13">
      <c r="A214" s="855" t="s">
        <v>1691</v>
      </c>
      <c r="B214" s="836" t="s">
        <v>885</v>
      </c>
      <c r="C214" s="1164" t="s">
        <v>396</v>
      </c>
      <c r="D214" s="856" t="s">
        <v>18</v>
      </c>
      <c r="E214" s="892"/>
      <c r="F214" s="892"/>
      <c r="G214" s="892">
        <v>2</v>
      </c>
      <c r="H214" s="892"/>
      <c r="I214" s="892"/>
      <c r="J214" s="892"/>
      <c r="K214" s="843">
        <f t="shared" si="14"/>
        <v>2</v>
      </c>
      <c r="L214" s="844"/>
      <c r="M214" s="843">
        <f t="shared" si="15"/>
        <v>0</v>
      </c>
    </row>
    <row r="215" spans="1:13">
      <c r="A215" s="855" t="s">
        <v>1692</v>
      </c>
      <c r="B215" s="836" t="s">
        <v>767</v>
      </c>
      <c r="C215" s="1164" t="s">
        <v>396</v>
      </c>
      <c r="D215" s="856" t="s">
        <v>18</v>
      </c>
      <c r="E215" s="892">
        <v>2</v>
      </c>
      <c r="F215" s="892">
        <v>1</v>
      </c>
      <c r="G215" s="892">
        <v>5</v>
      </c>
      <c r="H215" s="892"/>
      <c r="I215" s="892"/>
      <c r="J215" s="892"/>
      <c r="K215" s="843">
        <f t="shared" si="14"/>
        <v>8</v>
      </c>
      <c r="L215" s="844"/>
      <c r="M215" s="843">
        <f t="shared" si="15"/>
        <v>0</v>
      </c>
    </row>
    <row r="216" spans="1:13">
      <c r="A216" s="855" t="s">
        <v>1693</v>
      </c>
      <c r="B216" s="836" t="s">
        <v>768</v>
      </c>
      <c r="C216" s="1164" t="s">
        <v>396</v>
      </c>
      <c r="D216" s="856" t="s">
        <v>18</v>
      </c>
      <c r="E216" s="892">
        <v>1</v>
      </c>
      <c r="F216" s="892">
        <v>1</v>
      </c>
      <c r="G216" s="892">
        <v>1</v>
      </c>
      <c r="H216" s="892"/>
      <c r="I216" s="892"/>
      <c r="J216" s="892"/>
      <c r="K216" s="843">
        <f t="shared" si="14"/>
        <v>3</v>
      </c>
      <c r="L216" s="844"/>
      <c r="M216" s="843">
        <f t="shared" si="15"/>
        <v>0</v>
      </c>
    </row>
    <row r="217" spans="1:13">
      <c r="A217" s="855" t="s">
        <v>1694</v>
      </c>
      <c r="B217" s="836" t="s">
        <v>769</v>
      </c>
      <c r="C217" s="1164" t="s">
        <v>396</v>
      </c>
      <c r="D217" s="856" t="s">
        <v>18</v>
      </c>
      <c r="E217" s="892">
        <v>1</v>
      </c>
      <c r="F217" s="892"/>
      <c r="G217" s="892"/>
      <c r="H217" s="892"/>
      <c r="I217" s="892"/>
      <c r="J217" s="892"/>
      <c r="K217" s="843">
        <f t="shared" si="14"/>
        <v>1</v>
      </c>
      <c r="L217" s="844"/>
      <c r="M217" s="843">
        <f t="shared" si="15"/>
        <v>0</v>
      </c>
    </row>
    <row r="218" spans="1:13">
      <c r="A218" s="855" t="s">
        <v>1695</v>
      </c>
      <c r="B218" s="836" t="s">
        <v>770</v>
      </c>
      <c r="C218" s="1164" t="s">
        <v>396</v>
      </c>
      <c r="D218" s="856" t="s">
        <v>18</v>
      </c>
      <c r="E218" s="892">
        <v>5</v>
      </c>
      <c r="F218" s="892">
        <v>1</v>
      </c>
      <c r="G218" s="892"/>
      <c r="H218" s="892"/>
      <c r="I218" s="892"/>
      <c r="J218" s="892"/>
      <c r="K218" s="843">
        <f t="shared" si="14"/>
        <v>6</v>
      </c>
      <c r="L218" s="844"/>
      <c r="M218" s="843">
        <f t="shared" si="15"/>
        <v>0</v>
      </c>
    </row>
    <row r="219" spans="1:13">
      <c r="A219" s="855" t="s">
        <v>1696</v>
      </c>
      <c r="B219" s="836" t="s">
        <v>771</v>
      </c>
      <c r="C219" s="1164" t="s">
        <v>396</v>
      </c>
      <c r="D219" s="856" t="s">
        <v>18</v>
      </c>
      <c r="E219" s="892">
        <v>2</v>
      </c>
      <c r="F219" s="892"/>
      <c r="G219" s="892"/>
      <c r="H219" s="892"/>
      <c r="I219" s="892"/>
      <c r="J219" s="892"/>
      <c r="K219" s="843">
        <f t="shared" si="14"/>
        <v>2</v>
      </c>
      <c r="L219" s="844"/>
      <c r="M219" s="843">
        <f t="shared" si="15"/>
        <v>0</v>
      </c>
    </row>
    <row r="220" spans="1:13">
      <c r="A220" s="855" t="s">
        <v>1697</v>
      </c>
      <c r="B220" s="836" t="s">
        <v>955</v>
      </c>
      <c r="C220" s="1164" t="s">
        <v>396</v>
      </c>
      <c r="D220" s="856" t="s">
        <v>18</v>
      </c>
      <c r="E220" s="892"/>
      <c r="F220" s="892"/>
      <c r="G220" s="892"/>
      <c r="H220" s="892"/>
      <c r="I220" s="892"/>
      <c r="J220" s="892">
        <v>1</v>
      </c>
      <c r="K220" s="843">
        <f t="shared" si="14"/>
        <v>1</v>
      </c>
      <c r="L220" s="844"/>
      <c r="M220" s="843">
        <f t="shared" si="15"/>
        <v>0</v>
      </c>
    </row>
    <row r="221" spans="1:13">
      <c r="A221" s="855" t="s">
        <v>1698</v>
      </c>
      <c r="B221" s="836" t="s">
        <v>884</v>
      </c>
      <c r="C221" s="1164" t="s">
        <v>396</v>
      </c>
      <c r="D221" s="856" t="s">
        <v>18</v>
      </c>
      <c r="E221" s="892"/>
      <c r="F221" s="892"/>
      <c r="G221" s="892">
        <v>1</v>
      </c>
      <c r="H221" s="892"/>
      <c r="I221" s="892"/>
      <c r="J221" s="892"/>
      <c r="K221" s="843">
        <f t="shared" si="14"/>
        <v>1</v>
      </c>
      <c r="L221" s="844"/>
      <c r="M221" s="843">
        <f t="shared" si="15"/>
        <v>0</v>
      </c>
    </row>
    <row r="222" spans="1:13">
      <c r="A222" s="855" t="s">
        <v>1699</v>
      </c>
      <c r="B222" s="836" t="s">
        <v>772</v>
      </c>
      <c r="C222" s="1164" t="s">
        <v>396</v>
      </c>
      <c r="D222" s="856" t="s">
        <v>18</v>
      </c>
      <c r="E222" s="892">
        <v>1</v>
      </c>
      <c r="F222" s="892"/>
      <c r="G222" s="892"/>
      <c r="H222" s="892"/>
      <c r="I222" s="892"/>
      <c r="J222" s="892"/>
      <c r="K222" s="843">
        <f t="shared" si="14"/>
        <v>1</v>
      </c>
      <c r="L222" s="844"/>
      <c r="M222" s="843">
        <f t="shared" si="15"/>
        <v>0</v>
      </c>
    </row>
    <row r="223" spans="1:13">
      <c r="A223" s="855" t="s">
        <v>1700</v>
      </c>
      <c r="B223" s="836" t="s">
        <v>773</v>
      </c>
      <c r="C223" s="1164" t="s">
        <v>396</v>
      </c>
      <c r="D223" s="856" t="s">
        <v>18</v>
      </c>
      <c r="E223" s="892">
        <v>1</v>
      </c>
      <c r="F223" s="892"/>
      <c r="G223" s="892"/>
      <c r="H223" s="892"/>
      <c r="I223" s="892"/>
      <c r="J223" s="892"/>
      <c r="K223" s="843">
        <f t="shared" si="14"/>
        <v>1</v>
      </c>
      <c r="L223" s="844"/>
      <c r="M223" s="843">
        <f t="shared" si="15"/>
        <v>0</v>
      </c>
    </row>
    <row r="224" spans="1:13">
      <c r="A224" s="855" t="s">
        <v>1701</v>
      </c>
      <c r="B224" s="836" t="s">
        <v>774</v>
      </c>
      <c r="C224" s="1164" t="s">
        <v>396</v>
      </c>
      <c r="D224" s="856" t="s">
        <v>18</v>
      </c>
      <c r="E224" s="892">
        <v>3</v>
      </c>
      <c r="F224" s="892">
        <v>1</v>
      </c>
      <c r="G224" s="892"/>
      <c r="H224" s="892"/>
      <c r="I224" s="892"/>
      <c r="J224" s="892"/>
      <c r="K224" s="843">
        <f t="shared" si="14"/>
        <v>4</v>
      </c>
      <c r="L224" s="844"/>
      <c r="M224" s="843">
        <f t="shared" si="15"/>
        <v>0</v>
      </c>
    </row>
    <row r="225" spans="1:13">
      <c r="A225" s="855" t="s">
        <v>1702</v>
      </c>
      <c r="B225" s="836" t="s">
        <v>775</v>
      </c>
      <c r="C225" s="1164" t="s">
        <v>396</v>
      </c>
      <c r="D225" s="856" t="s">
        <v>18</v>
      </c>
      <c r="E225" s="892">
        <v>1</v>
      </c>
      <c r="F225" s="892">
        <v>2</v>
      </c>
      <c r="G225" s="892"/>
      <c r="H225" s="892"/>
      <c r="I225" s="892"/>
      <c r="J225" s="892"/>
      <c r="K225" s="843">
        <f t="shared" si="14"/>
        <v>3</v>
      </c>
      <c r="L225" s="844"/>
      <c r="M225" s="843">
        <f t="shared" si="15"/>
        <v>0</v>
      </c>
    </row>
    <row r="226" spans="1:13">
      <c r="A226" s="855" t="s">
        <v>1703</v>
      </c>
      <c r="B226" s="836" t="s">
        <v>776</v>
      </c>
      <c r="C226" s="1164" t="s">
        <v>396</v>
      </c>
      <c r="D226" s="856" t="s">
        <v>18</v>
      </c>
      <c r="E226" s="892">
        <v>1</v>
      </c>
      <c r="F226" s="892"/>
      <c r="G226" s="892">
        <v>1</v>
      </c>
      <c r="H226" s="892"/>
      <c r="I226" s="892"/>
      <c r="J226" s="892"/>
      <c r="K226" s="843">
        <f t="shared" si="14"/>
        <v>2</v>
      </c>
      <c r="L226" s="844"/>
      <c r="M226" s="843">
        <f t="shared" si="15"/>
        <v>0</v>
      </c>
    </row>
    <row r="227" spans="1:13">
      <c r="A227" s="855" t="s">
        <v>1704</v>
      </c>
      <c r="B227" s="836" t="s">
        <v>914</v>
      </c>
      <c r="C227" s="1164" t="s">
        <v>396</v>
      </c>
      <c r="D227" s="856" t="s">
        <v>18</v>
      </c>
      <c r="E227" s="892"/>
      <c r="F227" s="892"/>
      <c r="G227" s="892"/>
      <c r="H227" s="892">
        <v>1</v>
      </c>
      <c r="I227" s="892">
        <v>1</v>
      </c>
      <c r="J227" s="892"/>
      <c r="K227" s="843">
        <f t="shared" si="14"/>
        <v>2</v>
      </c>
      <c r="L227" s="844"/>
      <c r="M227" s="843">
        <f t="shared" si="15"/>
        <v>0</v>
      </c>
    </row>
    <row r="228" spans="1:13">
      <c r="A228" s="855" t="s">
        <v>1705</v>
      </c>
      <c r="B228" s="836" t="s">
        <v>2320</v>
      </c>
      <c r="C228" s="1164" t="s">
        <v>396</v>
      </c>
      <c r="D228" s="856" t="s">
        <v>18</v>
      </c>
      <c r="E228" s="892">
        <v>19</v>
      </c>
      <c r="F228" s="892">
        <v>26</v>
      </c>
      <c r="G228" s="892">
        <v>21</v>
      </c>
      <c r="H228" s="892"/>
      <c r="I228" s="892"/>
      <c r="J228" s="892"/>
      <c r="K228" s="843">
        <f t="shared" si="14"/>
        <v>66</v>
      </c>
      <c r="L228" s="844"/>
      <c r="M228" s="843">
        <f t="shared" si="15"/>
        <v>0</v>
      </c>
    </row>
    <row r="229" spans="1:13">
      <c r="A229" s="855" t="s">
        <v>1706</v>
      </c>
      <c r="B229" s="836" t="s">
        <v>2321</v>
      </c>
      <c r="C229" s="1164" t="s">
        <v>396</v>
      </c>
      <c r="D229" s="856" t="s">
        <v>18</v>
      </c>
      <c r="E229" s="892">
        <v>5</v>
      </c>
      <c r="F229" s="892">
        <v>11</v>
      </c>
      <c r="G229" s="892">
        <v>6</v>
      </c>
      <c r="H229" s="892"/>
      <c r="I229" s="892"/>
      <c r="J229" s="892"/>
      <c r="K229" s="843">
        <f t="shared" si="14"/>
        <v>22</v>
      </c>
      <c r="L229" s="844"/>
      <c r="M229" s="843">
        <f t="shared" si="15"/>
        <v>0</v>
      </c>
    </row>
    <row r="230" spans="1:13">
      <c r="A230" s="855" t="s">
        <v>1707</v>
      </c>
      <c r="B230" s="836" t="s">
        <v>2318</v>
      </c>
      <c r="C230" s="1164" t="s">
        <v>396</v>
      </c>
      <c r="D230" s="856" t="s">
        <v>18</v>
      </c>
      <c r="E230" s="892">
        <v>26</v>
      </c>
      <c r="F230" s="892"/>
      <c r="G230" s="892"/>
      <c r="H230" s="892"/>
      <c r="I230" s="892"/>
      <c r="J230" s="892"/>
      <c r="K230" s="843">
        <f t="shared" si="14"/>
        <v>26</v>
      </c>
      <c r="L230" s="844"/>
      <c r="M230" s="843">
        <f t="shared" si="15"/>
        <v>0</v>
      </c>
    </row>
    <row r="231" spans="1:13">
      <c r="A231" s="855" t="s">
        <v>1708</v>
      </c>
      <c r="B231" s="836" t="s">
        <v>2317</v>
      </c>
      <c r="C231" s="1164" t="s">
        <v>396</v>
      </c>
      <c r="D231" s="856" t="s">
        <v>18</v>
      </c>
      <c r="E231" s="892">
        <v>2</v>
      </c>
      <c r="F231" s="892"/>
      <c r="G231" s="892"/>
      <c r="H231" s="892"/>
      <c r="I231" s="892"/>
      <c r="J231" s="892"/>
      <c r="K231" s="843">
        <f t="shared" si="14"/>
        <v>2</v>
      </c>
      <c r="L231" s="844"/>
      <c r="M231" s="843">
        <f t="shared" si="15"/>
        <v>0</v>
      </c>
    </row>
    <row r="232" spans="1:13">
      <c r="A232" s="855" t="s">
        <v>1709</v>
      </c>
      <c r="B232" s="836" t="s">
        <v>918</v>
      </c>
      <c r="C232" s="1164" t="s">
        <v>396</v>
      </c>
      <c r="D232" s="856" t="s">
        <v>18</v>
      </c>
      <c r="E232" s="892"/>
      <c r="F232" s="892"/>
      <c r="G232" s="892"/>
      <c r="H232" s="892">
        <v>1</v>
      </c>
      <c r="I232" s="892">
        <f>1+3</f>
        <v>4</v>
      </c>
      <c r="J232" s="892">
        <f>2+2+3</f>
        <v>7</v>
      </c>
      <c r="K232" s="843">
        <f t="shared" si="14"/>
        <v>12</v>
      </c>
      <c r="L232" s="844"/>
      <c r="M232" s="843">
        <f t="shared" si="15"/>
        <v>0</v>
      </c>
    </row>
    <row r="233" spans="1:13">
      <c r="A233" s="855" t="s">
        <v>1710</v>
      </c>
      <c r="B233" s="836" t="s">
        <v>782</v>
      </c>
      <c r="C233" s="1164" t="s">
        <v>396</v>
      </c>
      <c r="D233" s="856" t="s">
        <v>18</v>
      </c>
      <c r="E233" s="892">
        <v>8</v>
      </c>
      <c r="F233" s="892">
        <v>7</v>
      </c>
      <c r="G233" s="892"/>
      <c r="H233" s="892"/>
      <c r="I233" s="892"/>
      <c r="J233" s="892"/>
      <c r="K233" s="843">
        <f t="shared" si="14"/>
        <v>15</v>
      </c>
      <c r="L233" s="844"/>
      <c r="M233" s="843">
        <f t="shared" si="15"/>
        <v>0</v>
      </c>
    </row>
    <row r="234" spans="1:13">
      <c r="A234" s="855" t="s">
        <v>1711</v>
      </c>
      <c r="B234" s="836" t="s">
        <v>783</v>
      </c>
      <c r="C234" s="1164" t="s">
        <v>396</v>
      </c>
      <c r="D234" s="856" t="s">
        <v>18</v>
      </c>
      <c r="E234" s="892">
        <v>3</v>
      </c>
      <c r="F234" s="892">
        <v>3</v>
      </c>
      <c r="G234" s="892"/>
      <c r="H234" s="892"/>
      <c r="I234" s="892"/>
      <c r="J234" s="892"/>
      <c r="K234" s="843">
        <f t="shared" si="14"/>
        <v>6</v>
      </c>
      <c r="L234" s="844"/>
      <c r="M234" s="843">
        <f t="shared" si="15"/>
        <v>0</v>
      </c>
    </row>
    <row r="235" spans="1:13">
      <c r="A235" s="855" t="s">
        <v>1712</v>
      </c>
      <c r="B235" s="836" t="s">
        <v>784</v>
      </c>
      <c r="C235" s="1164" t="s">
        <v>396</v>
      </c>
      <c r="D235" s="856" t="s">
        <v>18</v>
      </c>
      <c r="E235" s="892">
        <v>2</v>
      </c>
      <c r="F235" s="892"/>
      <c r="G235" s="892"/>
      <c r="H235" s="892"/>
      <c r="I235" s="892"/>
      <c r="J235" s="892"/>
      <c r="K235" s="843">
        <f t="shared" si="14"/>
        <v>2</v>
      </c>
      <c r="L235" s="844"/>
      <c r="M235" s="843">
        <f t="shared" si="15"/>
        <v>0</v>
      </c>
    </row>
    <row r="236" spans="1:13">
      <c r="A236" s="855" t="s">
        <v>1713</v>
      </c>
      <c r="B236" s="836" t="s">
        <v>785</v>
      </c>
      <c r="C236" s="1164" t="s">
        <v>396</v>
      </c>
      <c r="D236" s="856" t="s">
        <v>18</v>
      </c>
      <c r="E236" s="892">
        <v>8</v>
      </c>
      <c r="F236" s="892">
        <v>2</v>
      </c>
      <c r="G236" s="892"/>
      <c r="H236" s="892"/>
      <c r="I236" s="892"/>
      <c r="J236" s="892"/>
      <c r="K236" s="843">
        <f t="shared" si="14"/>
        <v>10</v>
      </c>
      <c r="L236" s="844"/>
      <c r="M236" s="843">
        <f t="shared" si="15"/>
        <v>0</v>
      </c>
    </row>
    <row r="237" spans="1:13">
      <c r="A237" s="855" t="s">
        <v>1714</v>
      </c>
      <c r="B237" s="836" t="s">
        <v>887</v>
      </c>
      <c r="C237" s="1164" t="s">
        <v>396</v>
      </c>
      <c r="D237" s="856" t="s">
        <v>18</v>
      </c>
      <c r="E237" s="892"/>
      <c r="F237" s="892"/>
      <c r="G237" s="892">
        <v>1</v>
      </c>
      <c r="H237" s="892"/>
      <c r="I237" s="892"/>
      <c r="J237" s="892"/>
      <c r="K237" s="843">
        <f t="shared" si="14"/>
        <v>1</v>
      </c>
      <c r="L237" s="844"/>
      <c r="M237" s="843">
        <f t="shared" si="15"/>
        <v>0</v>
      </c>
    </row>
    <row r="238" spans="1:13">
      <c r="A238" s="855" t="s">
        <v>1715</v>
      </c>
      <c r="B238" s="836" t="s">
        <v>956</v>
      </c>
      <c r="C238" s="1164" t="s">
        <v>396</v>
      </c>
      <c r="D238" s="856" t="s">
        <v>18</v>
      </c>
      <c r="E238" s="892"/>
      <c r="F238" s="892"/>
      <c r="G238" s="892"/>
      <c r="H238" s="892"/>
      <c r="I238" s="892"/>
      <c r="J238" s="892">
        <v>1</v>
      </c>
      <c r="K238" s="843">
        <f t="shared" si="14"/>
        <v>1</v>
      </c>
      <c r="L238" s="844"/>
      <c r="M238" s="843">
        <f t="shared" si="15"/>
        <v>0</v>
      </c>
    </row>
    <row r="239" spans="1:13">
      <c r="A239" s="855" t="s">
        <v>1716</v>
      </c>
      <c r="B239" s="836" t="s">
        <v>916</v>
      </c>
      <c r="C239" s="1164" t="s">
        <v>396</v>
      </c>
      <c r="D239" s="856" t="s">
        <v>18</v>
      </c>
      <c r="E239" s="892"/>
      <c r="F239" s="892"/>
      <c r="G239" s="892"/>
      <c r="H239" s="892">
        <v>1</v>
      </c>
      <c r="I239" s="892">
        <f>1+3</f>
        <v>4</v>
      </c>
      <c r="J239" s="892">
        <f>2+2+3</f>
        <v>7</v>
      </c>
      <c r="K239" s="843">
        <f t="shared" si="14"/>
        <v>12</v>
      </c>
      <c r="L239" s="844"/>
      <c r="M239" s="843">
        <f t="shared" si="15"/>
        <v>0</v>
      </c>
    </row>
    <row r="240" spans="1:13">
      <c r="A240" s="855" t="s">
        <v>1717</v>
      </c>
      <c r="B240" s="836" t="s">
        <v>917</v>
      </c>
      <c r="C240" s="1164" t="s">
        <v>396</v>
      </c>
      <c r="D240" s="856" t="s">
        <v>18</v>
      </c>
      <c r="E240" s="892"/>
      <c r="F240" s="892"/>
      <c r="G240" s="892"/>
      <c r="H240" s="892">
        <v>1</v>
      </c>
      <c r="I240" s="892">
        <f>1+3</f>
        <v>4</v>
      </c>
      <c r="J240" s="892">
        <f>2+2+3</f>
        <v>7</v>
      </c>
      <c r="K240" s="843">
        <f t="shared" si="14"/>
        <v>12</v>
      </c>
      <c r="L240" s="844"/>
      <c r="M240" s="843">
        <f t="shared" si="15"/>
        <v>0</v>
      </c>
    </row>
    <row r="241" spans="1:13">
      <c r="A241" s="855" t="s">
        <v>1718</v>
      </c>
      <c r="B241" s="1094" t="s">
        <v>919</v>
      </c>
      <c r="C241" s="1164" t="s">
        <v>396</v>
      </c>
      <c r="D241" s="856" t="s">
        <v>18</v>
      </c>
      <c r="E241" s="892"/>
      <c r="F241" s="892"/>
      <c r="G241" s="892"/>
      <c r="H241" s="892">
        <v>1</v>
      </c>
      <c r="I241" s="892">
        <f>1+2</f>
        <v>3</v>
      </c>
      <c r="J241" s="892">
        <v>3</v>
      </c>
      <c r="K241" s="843">
        <f t="shared" si="14"/>
        <v>7</v>
      </c>
      <c r="L241" s="844"/>
      <c r="M241" s="843">
        <f t="shared" si="15"/>
        <v>0</v>
      </c>
    </row>
    <row r="242" spans="1:13">
      <c r="A242" s="855" t="s">
        <v>1719</v>
      </c>
      <c r="B242" s="1094" t="s">
        <v>942</v>
      </c>
      <c r="C242" s="1164"/>
      <c r="D242" s="856"/>
      <c r="E242" s="892"/>
      <c r="F242" s="892"/>
      <c r="G242" s="892"/>
      <c r="H242" s="892"/>
      <c r="I242" s="892">
        <v>3</v>
      </c>
      <c r="J242" s="892">
        <f>2+3</f>
        <v>5</v>
      </c>
      <c r="K242" s="843">
        <f t="shared" si="14"/>
        <v>8</v>
      </c>
      <c r="L242" s="844"/>
      <c r="M242" s="843">
        <f t="shared" si="15"/>
        <v>0</v>
      </c>
    </row>
    <row r="243" spans="1:13">
      <c r="A243" s="913" t="s">
        <v>1720</v>
      </c>
      <c r="B243" s="1093" t="s">
        <v>845</v>
      </c>
      <c r="C243" s="1164"/>
      <c r="D243" s="856"/>
      <c r="E243" s="892"/>
      <c r="F243" s="892"/>
      <c r="G243" s="892"/>
      <c r="H243" s="892"/>
      <c r="I243" s="892"/>
      <c r="J243" s="892"/>
      <c r="K243" s="843"/>
      <c r="L243" s="843"/>
      <c r="M243" s="843"/>
    </row>
    <row r="244" spans="1:13">
      <c r="A244" s="855" t="s">
        <v>1721</v>
      </c>
      <c r="B244" s="836" t="s">
        <v>786</v>
      </c>
      <c r="C244" s="1164" t="s">
        <v>396</v>
      </c>
      <c r="D244" s="856" t="s">
        <v>18</v>
      </c>
      <c r="E244" s="892">
        <v>73</v>
      </c>
      <c r="F244" s="892">
        <v>38</v>
      </c>
      <c r="G244" s="892"/>
      <c r="H244" s="892"/>
      <c r="I244" s="892"/>
      <c r="J244" s="892"/>
      <c r="K244" s="843">
        <f t="shared" si="14"/>
        <v>111</v>
      </c>
      <c r="L244" s="844"/>
      <c r="M244" s="843">
        <f t="shared" si="15"/>
        <v>0</v>
      </c>
    </row>
    <row r="245" spans="1:13">
      <c r="A245" s="855" t="s">
        <v>1722</v>
      </c>
      <c r="B245" s="836" t="s">
        <v>687</v>
      </c>
      <c r="C245" s="1164" t="s">
        <v>396</v>
      </c>
      <c r="D245" s="856" t="s">
        <v>18</v>
      </c>
      <c r="E245" s="892"/>
      <c r="F245" s="892"/>
      <c r="G245" s="892"/>
      <c r="H245" s="892">
        <f>1+1</f>
        <v>2</v>
      </c>
      <c r="I245" s="892">
        <f>3+1+2</f>
        <v>6</v>
      </c>
      <c r="J245" s="892">
        <f>5+2</f>
        <v>7</v>
      </c>
      <c r="K245" s="843">
        <f t="shared" si="14"/>
        <v>15</v>
      </c>
      <c r="L245" s="844"/>
      <c r="M245" s="843">
        <f t="shared" si="15"/>
        <v>0</v>
      </c>
    </row>
    <row r="246" spans="1:13">
      <c r="A246" s="855" t="s">
        <v>1723</v>
      </c>
      <c r="B246" s="836" t="s">
        <v>890</v>
      </c>
      <c r="C246" s="1164" t="s">
        <v>396</v>
      </c>
      <c r="D246" s="856" t="s">
        <v>18</v>
      </c>
      <c r="E246" s="892"/>
      <c r="F246" s="892"/>
      <c r="G246" s="892">
        <v>35</v>
      </c>
      <c r="H246" s="892"/>
      <c r="I246" s="892"/>
      <c r="J246" s="892"/>
      <c r="K246" s="843">
        <f t="shared" si="14"/>
        <v>35</v>
      </c>
      <c r="L246" s="844"/>
      <c r="M246" s="843">
        <f t="shared" si="15"/>
        <v>0</v>
      </c>
    </row>
    <row r="247" spans="1:13">
      <c r="A247" s="855" t="s">
        <v>1724</v>
      </c>
      <c r="B247" s="836" t="s">
        <v>927</v>
      </c>
      <c r="C247" s="1164" t="s">
        <v>396</v>
      </c>
      <c r="D247" s="856" t="s">
        <v>18</v>
      </c>
      <c r="E247" s="892"/>
      <c r="F247" s="892"/>
      <c r="G247" s="892"/>
      <c r="H247" s="892">
        <f>1+1</f>
        <v>2</v>
      </c>
      <c r="I247" s="892">
        <f>3+1+2</f>
        <v>6</v>
      </c>
      <c r="J247" s="892">
        <f>5+2</f>
        <v>7</v>
      </c>
      <c r="K247" s="843">
        <f t="shared" si="14"/>
        <v>15</v>
      </c>
      <c r="L247" s="844"/>
      <c r="M247" s="843">
        <f t="shared" si="15"/>
        <v>0</v>
      </c>
    </row>
    <row r="248" spans="1:13">
      <c r="A248" s="855" t="s">
        <v>1725</v>
      </c>
      <c r="B248" s="836" t="s">
        <v>2763</v>
      </c>
      <c r="C248" s="1164" t="s">
        <v>396</v>
      </c>
      <c r="D248" s="856" t="s">
        <v>18</v>
      </c>
      <c r="E248" s="892">
        <v>3</v>
      </c>
      <c r="F248" s="892">
        <v>1</v>
      </c>
      <c r="G248" s="892">
        <v>9</v>
      </c>
      <c r="H248" s="892"/>
      <c r="I248" s="892"/>
      <c r="J248" s="892"/>
      <c r="K248" s="843">
        <f t="shared" si="14"/>
        <v>13</v>
      </c>
      <c r="L248" s="844"/>
      <c r="M248" s="843">
        <f t="shared" si="15"/>
        <v>0</v>
      </c>
    </row>
    <row r="249" spans="1:13">
      <c r="A249" s="855" t="s">
        <v>1726</v>
      </c>
      <c r="B249" s="836" t="s">
        <v>2764</v>
      </c>
      <c r="C249" s="1164" t="s">
        <v>396</v>
      </c>
      <c r="D249" s="856" t="s">
        <v>18</v>
      </c>
      <c r="E249" s="892">
        <v>3</v>
      </c>
      <c r="F249" s="892">
        <v>2</v>
      </c>
      <c r="G249" s="892">
        <v>3</v>
      </c>
      <c r="H249" s="892"/>
      <c r="I249" s="892"/>
      <c r="J249" s="892"/>
      <c r="K249" s="843">
        <f t="shared" si="14"/>
        <v>8</v>
      </c>
      <c r="L249" s="844"/>
      <c r="M249" s="843">
        <f t="shared" si="15"/>
        <v>0</v>
      </c>
    </row>
    <row r="250" spans="1:13">
      <c r="A250" s="855" t="s">
        <v>1727</v>
      </c>
      <c r="B250" s="836" t="s">
        <v>2765</v>
      </c>
      <c r="C250" s="1164" t="s">
        <v>396</v>
      </c>
      <c r="D250" s="856" t="s">
        <v>18</v>
      </c>
      <c r="E250" s="892">
        <v>3</v>
      </c>
      <c r="F250" s="892"/>
      <c r="G250" s="892">
        <v>2</v>
      </c>
      <c r="H250" s="892"/>
      <c r="I250" s="892"/>
      <c r="J250" s="892"/>
      <c r="K250" s="843">
        <f t="shared" si="14"/>
        <v>5</v>
      </c>
      <c r="L250" s="844"/>
      <c r="M250" s="843">
        <f t="shared" si="15"/>
        <v>0</v>
      </c>
    </row>
    <row r="251" spans="1:13">
      <c r="A251" s="855" t="s">
        <v>1728</v>
      </c>
      <c r="B251" s="836" t="s">
        <v>2766</v>
      </c>
      <c r="C251" s="1164" t="s">
        <v>396</v>
      </c>
      <c r="D251" s="856" t="s">
        <v>18</v>
      </c>
      <c r="E251" s="892">
        <v>14</v>
      </c>
      <c r="F251" s="892">
        <v>7</v>
      </c>
      <c r="G251" s="892">
        <v>1</v>
      </c>
      <c r="H251" s="892"/>
      <c r="I251" s="892"/>
      <c r="J251" s="892"/>
      <c r="K251" s="843">
        <f t="shared" ref="K251:K299" si="16">SUM(E251:J251)</f>
        <v>22</v>
      </c>
      <c r="L251" s="844"/>
      <c r="M251" s="843">
        <f t="shared" si="15"/>
        <v>0</v>
      </c>
    </row>
    <row r="252" spans="1:13">
      <c r="A252" s="855" t="s">
        <v>1729</v>
      </c>
      <c r="B252" s="836" t="s">
        <v>2767</v>
      </c>
      <c r="C252" s="1164" t="s">
        <v>396</v>
      </c>
      <c r="D252" s="856" t="s">
        <v>18</v>
      </c>
      <c r="E252" s="892">
        <v>1</v>
      </c>
      <c r="F252" s="892">
        <v>1</v>
      </c>
      <c r="G252" s="892">
        <v>3</v>
      </c>
      <c r="H252" s="892"/>
      <c r="I252" s="892"/>
      <c r="J252" s="892"/>
      <c r="K252" s="843">
        <f t="shared" si="16"/>
        <v>5</v>
      </c>
      <c r="L252" s="844"/>
      <c r="M252" s="843">
        <f t="shared" si="15"/>
        <v>0</v>
      </c>
    </row>
    <row r="253" spans="1:13">
      <c r="A253" s="855" t="s">
        <v>1730</v>
      </c>
      <c r="B253" s="836" t="s">
        <v>2768</v>
      </c>
      <c r="C253" s="1164" t="s">
        <v>396</v>
      </c>
      <c r="D253" s="856" t="s">
        <v>18</v>
      </c>
      <c r="E253" s="892"/>
      <c r="F253" s="892"/>
      <c r="G253" s="892">
        <v>9</v>
      </c>
      <c r="H253" s="892"/>
      <c r="I253" s="892"/>
      <c r="J253" s="892"/>
      <c r="K253" s="843">
        <f t="shared" si="16"/>
        <v>9</v>
      </c>
      <c r="L253" s="844"/>
      <c r="M253" s="843">
        <f t="shared" si="15"/>
        <v>0</v>
      </c>
    </row>
    <row r="254" spans="1:13">
      <c r="A254" s="855" t="s">
        <v>1731</v>
      </c>
      <c r="B254" s="836" t="s">
        <v>2769</v>
      </c>
      <c r="C254" s="1164" t="s">
        <v>396</v>
      </c>
      <c r="D254" s="856" t="s">
        <v>18</v>
      </c>
      <c r="E254" s="892">
        <v>2</v>
      </c>
      <c r="F254" s="892"/>
      <c r="G254" s="892"/>
      <c r="H254" s="892"/>
      <c r="I254" s="892"/>
      <c r="J254" s="892"/>
      <c r="K254" s="843">
        <f t="shared" si="16"/>
        <v>2</v>
      </c>
      <c r="L254" s="844"/>
      <c r="M254" s="843">
        <f t="shared" si="15"/>
        <v>0</v>
      </c>
    </row>
    <row r="255" spans="1:13">
      <c r="A255" s="855" t="s">
        <v>1732</v>
      </c>
      <c r="B255" s="836" t="s">
        <v>2770</v>
      </c>
      <c r="C255" s="1164" t="s">
        <v>396</v>
      </c>
      <c r="D255" s="856" t="s">
        <v>18</v>
      </c>
      <c r="E255" s="878">
        <v>2</v>
      </c>
      <c r="F255" s="878">
        <v>1</v>
      </c>
      <c r="G255" s="878">
        <v>3</v>
      </c>
      <c r="H255" s="878"/>
      <c r="I255" s="878"/>
      <c r="J255" s="878"/>
      <c r="K255" s="843">
        <f t="shared" si="16"/>
        <v>6</v>
      </c>
      <c r="L255" s="844"/>
      <c r="M255" s="843">
        <f t="shared" si="15"/>
        <v>0</v>
      </c>
    </row>
    <row r="256" spans="1:13">
      <c r="A256" s="855" t="s">
        <v>1733</v>
      </c>
      <c r="B256" s="836" t="s">
        <v>2771</v>
      </c>
      <c r="C256" s="1164" t="s">
        <v>396</v>
      </c>
      <c r="D256" s="856" t="s">
        <v>18</v>
      </c>
      <c r="E256" s="878">
        <v>2</v>
      </c>
      <c r="F256" s="878"/>
      <c r="G256" s="878"/>
      <c r="H256" s="878"/>
      <c r="I256" s="878"/>
      <c r="J256" s="878"/>
      <c r="K256" s="843">
        <f t="shared" si="16"/>
        <v>2</v>
      </c>
      <c r="L256" s="844"/>
      <c r="M256" s="843">
        <f t="shared" si="15"/>
        <v>0</v>
      </c>
    </row>
    <row r="257" spans="1:13">
      <c r="A257" s="855" t="s">
        <v>1734</v>
      </c>
      <c r="B257" s="836" t="s">
        <v>849</v>
      </c>
      <c r="C257" s="1164" t="s">
        <v>396</v>
      </c>
      <c r="D257" s="856" t="s">
        <v>18</v>
      </c>
      <c r="E257" s="878"/>
      <c r="F257" s="878"/>
      <c r="G257" s="878"/>
      <c r="H257" s="878">
        <v>1</v>
      </c>
      <c r="I257" s="878">
        <f>1+2</f>
        <v>3</v>
      </c>
      <c r="J257" s="878">
        <v>2</v>
      </c>
      <c r="K257" s="843">
        <f t="shared" si="16"/>
        <v>6</v>
      </c>
      <c r="L257" s="844"/>
      <c r="M257" s="843">
        <f t="shared" si="15"/>
        <v>0</v>
      </c>
    </row>
    <row r="258" spans="1:13">
      <c r="A258" s="855" t="s">
        <v>1735</v>
      </c>
      <c r="B258" s="836" t="s">
        <v>846</v>
      </c>
      <c r="C258" s="1164" t="s">
        <v>396</v>
      </c>
      <c r="D258" s="856" t="s">
        <v>18</v>
      </c>
      <c r="E258" s="892"/>
      <c r="F258" s="892">
        <v>32</v>
      </c>
      <c r="G258" s="892"/>
      <c r="H258" s="892"/>
      <c r="I258" s="892"/>
      <c r="J258" s="892"/>
      <c r="K258" s="843">
        <f t="shared" si="16"/>
        <v>32</v>
      </c>
      <c r="L258" s="844"/>
      <c r="M258" s="843">
        <f t="shared" si="15"/>
        <v>0</v>
      </c>
    </row>
    <row r="259" spans="1:13">
      <c r="A259" s="855" t="s">
        <v>1736</v>
      </c>
      <c r="B259" s="836" t="s">
        <v>847</v>
      </c>
      <c r="C259" s="1164" t="s">
        <v>396</v>
      </c>
      <c r="D259" s="856" t="s">
        <v>18</v>
      </c>
      <c r="E259" s="892"/>
      <c r="F259" s="892">
        <v>6</v>
      </c>
      <c r="G259" s="892"/>
      <c r="H259" s="892"/>
      <c r="I259" s="892"/>
      <c r="J259" s="892"/>
      <c r="K259" s="843">
        <f t="shared" si="16"/>
        <v>6</v>
      </c>
      <c r="L259" s="844"/>
      <c r="M259" s="843">
        <f t="shared" si="15"/>
        <v>0</v>
      </c>
    </row>
    <row r="260" spans="1:13">
      <c r="A260" s="855" t="s">
        <v>1737</v>
      </c>
      <c r="B260" s="836" t="s">
        <v>787</v>
      </c>
      <c r="C260" s="1164" t="s">
        <v>396</v>
      </c>
      <c r="D260" s="856" t="s">
        <v>18</v>
      </c>
      <c r="E260" s="892">
        <v>18</v>
      </c>
      <c r="F260" s="892"/>
      <c r="G260" s="892"/>
      <c r="H260" s="892"/>
      <c r="I260" s="892"/>
      <c r="J260" s="892"/>
      <c r="K260" s="843">
        <f t="shared" si="16"/>
        <v>18</v>
      </c>
      <c r="L260" s="844"/>
      <c r="M260" s="843">
        <f t="shared" si="15"/>
        <v>0</v>
      </c>
    </row>
    <row r="261" spans="1:13">
      <c r="A261" s="855" t="s">
        <v>1738</v>
      </c>
      <c r="B261" s="836" t="s">
        <v>2324</v>
      </c>
      <c r="C261" s="1164" t="s">
        <v>396</v>
      </c>
      <c r="D261" s="856" t="s">
        <v>18</v>
      </c>
      <c r="E261" s="892">
        <v>51</v>
      </c>
      <c r="F261" s="892"/>
      <c r="G261" s="892"/>
      <c r="H261" s="892"/>
      <c r="I261" s="892"/>
      <c r="J261" s="892"/>
      <c r="K261" s="843">
        <f t="shared" si="16"/>
        <v>51</v>
      </c>
      <c r="L261" s="844"/>
      <c r="M261" s="843">
        <f t="shared" si="15"/>
        <v>0</v>
      </c>
    </row>
    <row r="262" spans="1:13">
      <c r="A262" s="855" t="s">
        <v>1739</v>
      </c>
      <c r="B262" s="836" t="s">
        <v>2325</v>
      </c>
      <c r="C262" s="1164" t="s">
        <v>396</v>
      </c>
      <c r="D262" s="856" t="s">
        <v>18</v>
      </c>
      <c r="E262" s="892">
        <v>3</v>
      </c>
      <c r="F262" s="892"/>
      <c r="G262" s="892"/>
      <c r="H262" s="892"/>
      <c r="I262" s="892"/>
      <c r="J262" s="892"/>
      <c r="K262" s="843">
        <f t="shared" si="16"/>
        <v>3</v>
      </c>
      <c r="L262" s="844"/>
      <c r="M262" s="843">
        <f t="shared" si="15"/>
        <v>0</v>
      </c>
    </row>
    <row r="263" spans="1:13">
      <c r="A263" s="855" t="s">
        <v>1740</v>
      </c>
      <c r="B263" s="836" t="s">
        <v>788</v>
      </c>
      <c r="C263" s="1164" t="s">
        <v>396</v>
      </c>
      <c r="D263" s="856" t="s">
        <v>18</v>
      </c>
      <c r="E263" s="892">
        <v>1</v>
      </c>
      <c r="F263" s="892"/>
      <c r="G263" s="892"/>
      <c r="H263" s="892"/>
      <c r="I263" s="892"/>
      <c r="J263" s="892"/>
      <c r="K263" s="843">
        <f t="shared" si="16"/>
        <v>1</v>
      </c>
      <c r="L263" s="844"/>
      <c r="M263" s="843">
        <f t="shared" si="15"/>
        <v>0</v>
      </c>
    </row>
    <row r="264" spans="1:13">
      <c r="A264" s="855" t="s">
        <v>1741</v>
      </c>
      <c r="B264" s="836" t="s">
        <v>920</v>
      </c>
      <c r="C264" s="1164" t="s">
        <v>396</v>
      </c>
      <c r="D264" s="856" t="s">
        <v>18</v>
      </c>
      <c r="E264" s="892"/>
      <c r="F264" s="892"/>
      <c r="G264" s="892"/>
      <c r="H264" s="892">
        <v>1</v>
      </c>
      <c r="I264" s="892">
        <v>3</v>
      </c>
      <c r="J264" s="892">
        <v>5</v>
      </c>
      <c r="K264" s="843">
        <f t="shared" si="16"/>
        <v>9</v>
      </c>
      <c r="L264" s="844"/>
      <c r="M264" s="843">
        <f t="shared" si="15"/>
        <v>0</v>
      </c>
    </row>
    <row r="265" spans="1:13">
      <c r="A265" s="855" t="s">
        <v>1742</v>
      </c>
      <c r="B265" s="836" t="s">
        <v>926</v>
      </c>
      <c r="C265" s="1164" t="s">
        <v>396</v>
      </c>
      <c r="D265" s="856" t="s">
        <v>18</v>
      </c>
      <c r="E265" s="892"/>
      <c r="F265" s="892"/>
      <c r="G265" s="892"/>
      <c r="H265" s="892">
        <f>1+1</f>
        <v>2</v>
      </c>
      <c r="I265" s="892">
        <f>3+1+2+2</f>
        <v>8</v>
      </c>
      <c r="J265" s="892">
        <f>5+2+2</f>
        <v>9</v>
      </c>
      <c r="K265" s="843">
        <f t="shared" si="16"/>
        <v>19</v>
      </c>
      <c r="L265" s="844"/>
      <c r="M265" s="843">
        <f t="shared" si="15"/>
        <v>0</v>
      </c>
    </row>
    <row r="266" spans="1:13">
      <c r="A266" s="855" t="s">
        <v>1743</v>
      </c>
      <c r="B266" s="836" t="s">
        <v>789</v>
      </c>
      <c r="C266" s="1164" t="s">
        <v>396</v>
      </c>
      <c r="D266" s="856" t="s">
        <v>18</v>
      </c>
      <c r="E266" s="892">
        <v>94</v>
      </c>
      <c r="F266" s="892">
        <v>47</v>
      </c>
      <c r="G266" s="892">
        <v>51</v>
      </c>
      <c r="H266" s="892"/>
      <c r="I266" s="892"/>
      <c r="J266" s="892"/>
      <c r="K266" s="843">
        <f t="shared" si="16"/>
        <v>192</v>
      </c>
      <c r="L266" s="844"/>
      <c r="M266" s="843">
        <f t="shared" ref="M266:M299" si="17">K266*L266</f>
        <v>0</v>
      </c>
    </row>
    <row r="267" spans="1:13">
      <c r="A267" s="855" t="s">
        <v>1744</v>
      </c>
      <c r="B267" s="836" t="s">
        <v>928</v>
      </c>
      <c r="C267" s="1164" t="s">
        <v>396</v>
      </c>
      <c r="D267" s="856" t="s">
        <v>18</v>
      </c>
      <c r="E267" s="892"/>
      <c r="F267" s="892"/>
      <c r="G267" s="892"/>
      <c r="H267" s="892">
        <v>1</v>
      </c>
      <c r="I267" s="892">
        <v>1</v>
      </c>
      <c r="J267" s="892"/>
      <c r="K267" s="843">
        <f t="shared" si="16"/>
        <v>2</v>
      </c>
      <c r="L267" s="844"/>
      <c r="M267" s="843">
        <f t="shared" si="17"/>
        <v>0</v>
      </c>
    </row>
    <row r="268" spans="1:13">
      <c r="A268" s="855" t="s">
        <v>1745</v>
      </c>
      <c r="B268" s="836" t="s">
        <v>775</v>
      </c>
      <c r="C268" s="1164" t="s">
        <v>396</v>
      </c>
      <c r="D268" s="856" t="s">
        <v>18</v>
      </c>
      <c r="E268" s="892"/>
      <c r="F268" s="892"/>
      <c r="G268" s="892">
        <v>13</v>
      </c>
      <c r="H268" s="892"/>
      <c r="I268" s="892"/>
      <c r="J268" s="892"/>
      <c r="K268" s="843">
        <f t="shared" si="16"/>
        <v>13</v>
      </c>
      <c r="L268" s="844"/>
      <c r="M268" s="843">
        <f t="shared" si="17"/>
        <v>0</v>
      </c>
    </row>
    <row r="269" spans="1:13">
      <c r="A269" s="855" t="s">
        <v>1746</v>
      </c>
      <c r="B269" s="836" t="s">
        <v>2314</v>
      </c>
      <c r="C269" s="1164" t="s">
        <v>396</v>
      </c>
      <c r="D269" s="856" t="s">
        <v>18</v>
      </c>
      <c r="E269" s="892"/>
      <c r="F269" s="892"/>
      <c r="G269" s="892">
        <v>6</v>
      </c>
      <c r="H269" s="892"/>
      <c r="I269" s="892"/>
      <c r="J269" s="892"/>
      <c r="K269" s="843">
        <f t="shared" si="16"/>
        <v>6</v>
      </c>
      <c r="L269" s="844"/>
      <c r="M269" s="843">
        <f t="shared" si="17"/>
        <v>0</v>
      </c>
    </row>
    <row r="270" spans="1:13">
      <c r="A270" s="855" t="s">
        <v>1747</v>
      </c>
      <c r="B270" s="836" t="s">
        <v>2315</v>
      </c>
      <c r="C270" s="1164" t="s">
        <v>396</v>
      </c>
      <c r="D270" s="856" t="s">
        <v>18</v>
      </c>
      <c r="E270" s="892">
        <v>164</v>
      </c>
      <c r="F270" s="892">
        <v>76</v>
      </c>
      <c r="G270" s="892">
        <v>134</v>
      </c>
      <c r="H270" s="892"/>
      <c r="I270" s="892"/>
      <c r="J270" s="892"/>
      <c r="K270" s="843">
        <f t="shared" si="16"/>
        <v>374</v>
      </c>
      <c r="L270" s="844"/>
      <c r="M270" s="843">
        <f t="shared" si="17"/>
        <v>0</v>
      </c>
    </row>
    <row r="271" spans="1:13">
      <c r="A271" s="855" t="s">
        <v>1748</v>
      </c>
      <c r="B271" s="836" t="s">
        <v>888</v>
      </c>
      <c r="C271" s="1164" t="s">
        <v>396</v>
      </c>
      <c r="D271" s="856" t="s">
        <v>18</v>
      </c>
      <c r="E271" s="878"/>
      <c r="F271" s="878"/>
      <c r="G271" s="878">
        <v>3</v>
      </c>
      <c r="H271" s="878"/>
      <c r="I271" s="878"/>
      <c r="J271" s="878"/>
      <c r="K271" s="843">
        <f t="shared" si="16"/>
        <v>3</v>
      </c>
      <c r="L271" s="844"/>
      <c r="M271" s="843">
        <f t="shared" si="17"/>
        <v>0</v>
      </c>
    </row>
    <row r="272" spans="1:13">
      <c r="A272" s="855" t="s">
        <v>1749</v>
      </c>
      <c r="B272" s="836" t="s">
        <v>889</v>
      </c>
      <c r="C272" s="1164" t="s">
        <v>396</v>
      </c>
      <c r="D272" s="856" t="s">
        <v>18</v>
      </c>
      <c r="E272" s="878"/>
      <c r="F272" s="878"/>
      <c r="G272" s="878">
        <v>32</v>
      </c>
      <c r="H272" s="878"/>
      <c r="I272" s="878"/>
      <c r="J272" s="878"/>
      <c r="K272" s="843">
        <f t="shared" si="16"/>
        <v>32</v>
      </c>
      <c r="L272" s="844"/>
      <c r="M272" s="843">
        <f t="shared" si="17"/>
        <v>0</v>
      </c>
    </row>
    <row r="273" spans="1:13">
      <c r="A273" s="855" t="s">
        <v>1750</v>
      </c>
      <c r="B273" s="836" t="s">
        <v>922</v>
      </c>
      <c r="C273" s="1164" t="s">
        <v>396</v>
      </c>
      <c r="D273" s="856" t="s">
        <v>18</v>
      </c>
      <c r="E273" s="878">
        <v>73</v>
      </c>
      <c r="F273" s="878">
        <v>38</v>
      </c>
      <c r="G273" s="878"/>
      <c r="H273" s="878"/>
      <c r="I273" s="878"/>
      <c r="J273" s="878"/>
      <c r="K273" s="843">
        <f t="shared" si="16"/>
        <v>111</v>
      </c>
      <c r="L273" s="844"/>
      <c r="M273" s="843">
        <f t="shared" si="17"/>
        <v>0</v>
      </c>
    </row>
    <row r="274" spans="1:13">
      <c r="A274" s="855" t="s">
        <v>1751</v>
      </c>
      <c r="B274" s="836" t="s">
        <v>923</v>
      </c>
      <c r="C274" s="1164" t="s">
        <v>396</v>
      </c>
      <c r="D274" s="856" t="s">
        <v>18</v>
      </c>
      <c r="E274" s="878"/>
      <c r="F274" s="878"/>
      <c r="G274" s="878"/>
      <c r="H274" s="878">
        <f>1+1</f>
        <v>2</v>
      </c>
      <c r="I274" s="878">
        <f>3+1+2</f>
        <v>6</v>
      </c>
      <c r="J274" s="878">
        <f>5+2</f>
        <v>7</v>
      </c>
      <c r="K274" s="843">
        <f t="shared" si="16"/>
        <v>15</v>
      </c>
      <c r="L274" s="844"/>
      <c r="M274" s="843">
        <f t="shared" si="17"/>
        <v>0</v>
      </c>
    </row>
    <row r="275" spans="1:13">
      <c r="A275" s="855" t="s">
        <v>1752</v>
      </c>
      <c r="B275" s="836" t="s">
        <v>925</v>
      </c>
      <c r="C275" s="1164" t="s">
        <v>396</v>
      </c>
      <c r="D275" s="856" t="s">
        <v>18</v>
      </c>
      <c r="E275" s="878"/>
      <c r="F275" s="878"/>
      <c r="G275" s="878"/>
      <c r="H275" s="878">
        <f>1+1</f>
        <v>2</v>
      </c>
      <c r="I275" s="878">
        <f>3+1+2</f>
        <v>6</v>
      </c>
      <c r="J275" s="878">
        <f>5+2</f>
        <v>7</v>
      </c>
      <c r="K275" s="843">
        <f t="shared" si="16"/>
        <v>15</v>
      </c>
      <c r="L275" s="844"/>
      <c r="M275" s="843">
        <f t="shared" si="17"/>
        <v>0</v>
      </c>
    </row>
    <row r="276" spans="1:13">
      <c r="A276" s="855" t="s">
        <v>1753</v>
      </c>
      <c r="B276" s="836" t="s">
        <v>924</v>
      </c>
      <c r="C276" s="1164" t="s">
        <v>396</v>
      </c>
      <c r="D276" s="856" t="s">
        <v>18</v>
      </c>
      <c r="E276" s="878">
        <v>73</v>
      </c>
      <c r="F276" s="878">
        <v>38</v>
      </c>
      <c r="G276" s="878">
        <v>35</v>
      </c>
      <c r="H276" s="878"/>
      <c r="I276" s="878"/>
      <c r="J276" s="878"/>
      <c r="K276" s="843">
        <f t="shared" si="16"/>
        <v>146</v>
      </c>
      <c r="L276" s="844"/>
      <c r="M276" s="843">
        <f t="shared" si="17"/>
        <v>0</v>
      </c>
    </row>
    <row r="277" spans="1:13">
      <c r="A277" s="855" t="s">
        <v>1754</v>
      </c>
      <c r="B277" s="836" t="s">
        <v>921</v>
      </c>
      <c r="C277" s="1164" t="s">
        <v>396</v>
      </c>
      <c r="D277" s="856" t="s">
        <v>18</v>
      </c>
      <c r="E277" s="878"/>
      <c r="F277" s="878"/>
      <c r="G277" s="878"/>
      <c r="H277" s="878">
        <f>1+1</f>
        <v>2</v>
      </c>
      <c r="I277" s="878">
        <f>3+1+2</f>
        <v>6</v>
      </c>
      <c r="J277" s="878">
        <f>5+2</f>
        <v>7</v>
      </c>
      <c r="K277" s="843">
        <f t="shared" si="16"/>
        <v>15</v>
      </c>
      <c r="L277" s="844"/>
      <c r="M277" s="843">
        <f t="shared" si="17"/>
        <v>0</v>
      </c>
    </row>
    <row r="278" spans="1:13">
      <c r="A278" s="855" t="s">
        <v>1755</v>
      </c>
      <c r="B278" s="836" t="s">
        <v>848</v>
      </c>
      <c r="C278" s="1164" t="s">
        <v>396</v>
      </c>
      <c r="D278" s="856" t="s">
        <v>18</v>
      </c>
      <c r="E278" s="878">
        <v>73</v>
      </c>
      <c r="F278" s="878"/>
      <c r="G278" s="878"/>
      <c r="H278" s="878"/>
      <c r="I278" s="878"/>
      <c r="J278" s="878"/>
      <c r="K278" s="843">
        <f t="shared" si="16"/>
        <v>73</v>
      </c>
      <c r="L278" s="844"/>
      <c r="M278" s="843">
        <f t="shared" si="17"/>
        <v>0</v>
      </c>
    </row>
    <row r="279" spans="1:13">
      <c r="A279" s="855" t="s">
        <v>1756</v>
      </c>
      <c r="B279" s="836" t="s">
        <v>2772</v>
      </c>
      <c r="C279" s="1164" t="s">
        <v>396</v>
      </c>
      <c r="D279" s="856" t="s">
        <v>18</v>
      </c>
      <c r="E279" s="878"/>
      <c r="F279" s="878">
        <v>108</v>
      </c>
      <c r="G279" s="878">
        <v>35</v>
      </c>
      <c r="H279" s="878"/>
      <c r="I279" s="878"/>
      <c r="J279" s="878"/>
      <c r="K279" s="843">
        <f t="shared" si="16"/>
        <v>143</v>
      </c>
      <c r="L279" s="844"/>
      <c r="M279" s="843">
        <f t="shared" si="17"/>
        <v>0</v>
      </c>
    </row>
    <row r="280" spans="1:13">
      <c r="A280" s="855" t="s">
        <v>1757</v>
      </c>
      <c r="B280" s="836" t="s">
        <v>790</v>
      </c>
      <c r="C280" s="1164" t="s">
        <v>2515</v>
      </c>
      <c r="D280" s="856" t="s">
        <v>18</v>
      </c>
      <c r="E280" s="878">
        <v>73</v>
      </c>
      <c r="F280" s="878">
        <v>38</v>
      </c>
      <c r="G280" s="878">
        <v>35</v>
      </c>
      <c r="H280" s="878"/>
      <c r="I280" s="878"/>
      <c r="J280" s="878"/>
      <c r="K280" s="843">
        <f t="shared" si="16"/>
        <v>146</v>
      </c>
      <c r="L280" s="844"/>
      <c r="M280" s="843">
        <f t="shared" si="17"/>
        <v>0</v>
      </c>
    </row>
    <row r="281" spans="1:13">
      <c r="A281" s="855" t="s">
        <v>1758</v>
      </c>
      <c r="B281" s="836" t="s">
        <v>684</v>
      </c>
      <c r="C281" s="1164" t="s">
        <v>397</v>
      </c>
      <c r="D281" s="856" t="s">
        <v>18</v>
      </c>
      <c r="E281" s="878"/>
      <c r="F281" s="878"/>
      <c r="G281" s="878"/>
      <c r="H281" s="878">
        <v>2</v>
      </c>
      <c r="I281" s="878">
        <v>6</v>
      </c>
      <c r="J281" s="878">
        <v>7</v>
      </c>
      <c r="K281" s="843">
        <f t="shared" si="16"/>
        <v>15</v>
      </c>
      <c r="L281" s="844"/>
      <c r="M281" s="843">
        <f t="shared" si="17"/>
        <v>0</v>
      </c>
    </row>
    <row r="282" spans="1:13">
      <c r="A282" s="913" t="s">
        <v>1759</v>
      </c>
      <c r="B282" s="1093" t="s">
        <v>791</v>
      </c>
      <c r="C282" s="1164"/>
      <c r="D282" s="856"/>
      <c r="E282" s="878"/>
      <c r="F282" s="878"/>
      <c r="G282" s="878"/>
      <c r="H282" s="878"/>
      <c r="I282" s="878"/>
      <c r="J282" s="878"/>
      <c r="K282" s="843"/>
      <c r="L282" s="843"/>
      <c r="M282" s="843"/>
    </row>
    <row r="283" spans="1:13">
      <c r="A283" s="855" t="s">
        <v>1760</v>
      </c>
      <c r="B283" s="836" t="s">
        <v>849</v>
      </c>
      <c r="C283" s="1164" t="s">
        <v>397</v>
      </c>
      <c r="D283" s="856" t="s">
        <v>18</v>
      </c>
      <c r="E283" s="878"/>
      <c r="F283" s="878">
        <v>2</v>
      </c>
      <c r="G283" s="878"/>
      <c r="H283" s="878"/>
      <c r="I283" s="878"/>
      <c r="J283" s="878"/>
      <c r="K283" s="843">
        <f t="shared" si="16"/>
        <v>2</v>
      </c>
      <c r="L283" s="844"/>
      <c r="M283" s="843">
        <f t="shared" si="17"/>
        <v>0</v>
      </c>
    </row>
    <row r="284" spans="1:13">
      <c r="A284" s="855" t="s">
        <v>1761</v>
      </c>
      <c r="B284" s="836" t="s">
        <v>792</v>
      </c>
      <c r="C284" s="1164" t="s">
        <v>397</v>
      </c>
      <c r="D284" s="856" t="s">
        <v>18</v>
      </c>
      <c r="E284" s="878">
        <v>4</v>
      </c>
      <c r="F284" s="878"/>
      <c r="G284" s="878"/>
      <c r="H284" s="878"/>
      <c r="I284" s="878"/>
      <c r="J284" s="878"/>
      <c r="K284" s="843">
        <f t="shared" si="16"/>
        <v>4</v>
      </c>
      <c r="L284" s="844"/>
      <c r="M284" s="843">
        <f t="shared" si="17"/>
        <v>0</v>
      </c>
    </row>
    <row r="285" spans="1:13" ht="14.25" customHeight="1">
      <c r="A285" s="855" t="s">
        <v>1762</v>
      </c>
      <c r="B285" s="836" t="s">
        <v>2326</v>
      </c>
      <c r="C285" s="1164" t="s">
        <v>397</v>
      </c>
      <c r="D285" s="856" t="s">
        <v>18</v>
      </c>
      <c r="E285" s="878">
        <v>7</v>
      </c>
      <c r="F285" s="878"/>
      <c r="G285" s="878"/>
      <c r="H285" s="878"/>
      <c r="I285" s="878"/>
      <c r="J285" s="878"/>
      <c r="K285" s="843">
        <f t="shared" si="16"/>
        <v>7</v>
      </c>
      <c r="L285" s="844"/>
      <c r="M285" s="843">
        <f t="shared" si="17"/>
        <v>0</v>
      </c>
    </row>
    <row r="286" spans="1:13" ht="14.25" customHeight="1">
      <c r="A286" s="855" t="s">
        <v>1763</v>
      </c>
      <c r="B286" s="836" t="s">
        <v>850</v>
      </c>
      <c r="C286" s="1164" t="s">
        <v>397</v>
      </c>
      <c r="D286" s="856" t="s">
        <v>18</v>
      </c>
      <c r="E286" s="878"/>
      <c r="F286" s="878">
        <v>9</v>
      </c>
      <c r="G286" s="878">
        <v>9</v>
      </c>
      <c r="H286" s="878"/>
      <c r="I286" s="878"/>
      <c r="J286" s="878"/>
      <c r="K286" s="843">
        <f t="shared" si="16"/>
        <v>18</v>
      </c>
      <c r="L286" s="844"/>
      <c r="M286" s="843">
        <f t="shared" si="17"/>
        <v>0</v>
      </c>
    </row>
    <row r="287" spans="1:13">
      <c r="A287" s="855" t="s">
        <v>1764</v>
      </c>
      <c r="B287" s="836" t="s">
        <v>774</v>
      </c>
      <c r="C287" s="1164" t="s">
        <v>397</v>
      </c>
      <c r="D287" s="856" t="s">
        <v>18</v>
      </c>
      <c r="E287" s="878">
        <v>4</v>
      </c>
      <c r="F287" s="878"/>
      <c r="G287" s="878"/>
      <c r="H287" s="878"/>
      <c r="I287" s="878"/>
      <c r="J287" s="878"/>
      <c r="K287" s="843">
        <f t="shared" si="16"/>
        <v>4</v>
      </c>
      <c r="L287" s="844"/>
      <c r="M287" s="843">
        <f t="shared" si="17"/>
        <v>0</v>
      </c>
    </row>
    <row r="288" spans="1:13">
      <c r="A288" s="855" t="s">
        <v>1765</v>
      </c>
      <c r="B288" s="836" t="s">
        <v>793</v>
      </c>
      <c r="C288" s="1164" t="s">
        <v>397</v>
      </c>
      <c r="D288" s="856" t="s">
        <v>18</v>
      </c>
      <c r="E288" s="878">
        <v>4</v>
      </c>
      <c r="F288" s="878">
        <v>9</v>
      </c>
      <c r="G288" s="878"/>
      <c r="H288" s="878"/>
      <c r="I288" s="878"/>
      <c r="J288" s="878"/>
      <c r="K288" s="843">
        <f t="shared" si="16"/>
        <v>13</v>
      </c>
      <c r="L288" s="844"/>
      <c r="M288" s="843">
        <f t="shared" si="17"/>
        <v>0</v>
      </c>
    </row>
    <row r="289" spans="1:13">
      <c r="A289" s="855" t="s">
        <v>1766</v>
      </c>
      <c r="B289" s="836" t="s">
        <v>891</v>
      </c>
      <c r="C289" s="1164" t="s">
        <v>397</v>
      </c>
      <c r="D289" s="856" t="s">
        <v>18</v>
      </c>
      <c r="E289" s="878"/>
      <c r="F289" s="878"/>
      <c r="G289" s="878">
        <v>5</v>
      </c>
      <c r="H289" s="878"/>
      <c r="I289" s="878"/>
      <c r="J289" s="878"/>
      <c r="K289" s="843">
        <f t="shared" si="16"/>
        <v>5</v>
      </c>
      <c r="L289" s="844"/>
      <c r="M289" s="843">
        <f t="shared" si="17"/>
        <v>0</v>
      </c>
    </row>
    <row r="290" spans="1:13">
      <c r="A290" s="855" t="s">
        <v>1767</v>
      </c>
      <c r="B290" s="836" t="s">
        <v>892</v>
      </c>
      <c r="C290" s="1164" t="s">
        <v>397</v>
      </c>
      <c r="D290" s="856" t="s">
        <v>18</v>
      </c>
      <c r="E290" s="878"/>
      <c r="F290" s="878"/>
      <c r="G290" s="878">
        <v>19</v>
      </c>
      <c r="H290" s="878"/>
      <c r="I290" s="878"/>
      <c r="J290" s="878"/>
      <c r="K290" s="843">
        <f t="shared" si="16"/>
        <v>19</v>
      </c>
      <c r="L290" s="844"/>
      <c r="M290" s="843">
        <f t="shared" si="17"/>
        <v>0</v>
      </c>
    </row>
    <row r="291" spans="1:13">
      <c r="A291" s="855" t="s">
        <v>1768</v>
      </c>
      <c r="B291" s="836" t="s">
        <v>893</v>
      </c>
      <c r="C291" s="1164" t="s">
        <v>397</v>
      </c>
      <c r="D291" s="856" t="s">
        <v>18</v>
      </c>
      <c r="E291" s="878"/>
      <c r="F291" s="878"/>
      <c r="G291" s="878">
        <v>9</v>
      </c>
      <c r="H291" s="878"/>
      <c r="I291" s="878"/>
      <c r="J291" s="878"/>
      <c r="K291" s="843">
        <f t="shared" si="16"/>
        <v>9</v>
      </c>
      <c r="L291" s="844"/>
      <c r="M291" s="843">
        <f t="shared" si="17"/>
        <v>0</v>
      </c>
    </row>
    <row r="292" spans="1:13">
      <c r="A292" s="855" t="s">
        <v>1769</v>
      </c>
      <c r="B292" s="836" t="s">
        <v>2317</v>
      </c>
      <c r="C292" s="1164" t="s">
        <v>397</v>
      </c>
      <c r="D292" s="856" t="s">
        <v>18</v>
      </c>
      <c r="E292" s="878"/>
      <c r="F292" s="878"/>
      <c r="G292" s="878">
        <v>2</v>
      </c>
      <c r="H292" s="878"/>
      <c r="I292" s="878"/>
      <c r="J292" s="878"/>
      <c r="K292" s="843">
        <f t="shared" si="16"/>
        <v>2</v>
      </c>
      <c r="L292" s="844"/>
      <c r="M292" s="843">
        <f t="shared" si="17"/>
        <v>0</v>
      </c>
    </row>
    <row r="293" spans="1:13">
      <c r="A293" s="855" t="s">
        <v>1770</v>
      </c>
      <c r="B293" s="836" t="s">
        <v>2318</v>
      </c>
      <c r="C293" s="1164" t="s">
        <v>397</v>
      </c>
      <c r="D293" s="856" t="s">
        <v>18</v>
      </c>
      <c r="E293" s="878">
        <v>1</v>
      </c>
      <c r="F293" s="878"/>
      <c r="G293" s="878">
        <v>16</v>
      </c>
      <c r="H293" s="878"/>
      <c r="I293" s="878"/>
      <c r="J293" s="878"/>
      <c r="K293" s="843">
        <f t="shared" si="16"/>
        <v>17</v>
      </c>
      <c r="L293" s="844"/>
      <c r="M293" s="843">
        <f t="shared" si="17"/>
        <v>0</v>
      </c>
    </row>
    <row r="294" spans="1:13">
      <c r="A294" s="855" t="s">
        <v>1771</v>
      </c>
      <c r="B294" s="836" t="s">
        <v>2319</v>
      </c>
      <c r="C294" s="1164" t="s">
        <v>397</v>
      </c>
      <c r="D294" s="856" t="s">
        <v>18</v>
      </c>
      <c r="E294" s="878"/>
      <c r="F294" s="878"/>
      <c r="G294" s="878">
        <v>18</v>
      </c>
      <c r="H294" s="878"/>
      <c r="I294" s="878"/>
      <c r="J294" s="878"/>
      <c r="K294" s="843">
        <f t="shared" si="16"/>
        <v>18</v>
      </c>
      <c r="L294" s="844"/>
      <c r="M294" s="843">
        <f t="shared" si="17"/>
        <v>0</v>
      </c>
    </row>
    <row r="295" spans="1:13">
      <c r="A295" s="855" t="s">
        <v>1772</v>
      </c>
      <c r="B295" s="836" t="s">
        <v>2318</v>
      </c>
      <c r="C295" s="1164" t="s">
        <v>397</v>
      </c>
      <c r="D295" s="856" t="s">
        <v>18</v>
      </c>
      <c r="E295" s="878">
        <v>26</v>
      </c>
      <c r="F295" s="878"/>
      <c r="G295" s="878"/>
      <c r="H295" s="878"/>
      <c r="I295" s="878"/>
      <c r="J295" s="878"/>
      <c r="K295" s="843">
        <f t="shared" si="16"/>
        <v>26</v>
      </c>
      <c r="L295" s="844"/>
      <c r="M295" s="843">
        <f t="shared" si="17"/>
        <v>0</v>
      </c>
    </row>
    <row r="296" spans="1:13">
      <c r="A296" s="855" t="s">
        <v>1773</v>
      </c>
      <c r="B296" s="836" t="s">
        <v>894</v>
      </c>
      <c r="C296" s="1164" t="s">
        <v>397</v>
      </c>
      <c r="D296" s="856" t="s">
        <v>18</v>
      </c>
      <c r="E296" s="878">
        <v>15</v>
      </c>
      <c r="F296" s="878">
        <v>11</v>
      </c>
      <c r="G296" s="878">
        <v>9</v>
      </c>
      <c r="H296" s="878"/>
      <c r="I296" s="878"/>
      <c r="J296" s="878"/>
      <c r="K296" s="843">
        <f t="shared" si="16"/>
        <v>35</v>
      </c>
      <c r="L296" s="844"/>
      <c r="M296" s="843">
        <f t="shared" si="17"/>
        <v>0</v>
      </c>
    </row>
    <row r="297" spans="1:13">
      <c r="A297" s="855" t="s">
        <v>1774</v>
      </c>
      <c r="B297" s="836" t="s">
        <v>794</v>
      </c>
      <c r="C297" s="1164" t="s">
        <v>397</v>
      </c>
      <c r="D297" s="856" t="s">
        <v>18</v>
      </c>
      <c r="E297" s="878">
        <v>15</v>
      </c>
      <c r="F297" s="878">
        <v>11</v>
      </c>
      <c r="G297" s="878">
        <v>9</v>
      </c>
      <c r="H297" s="878"/>
      <c r="I297" s="878"/>
      <c r="J297" s="878"/>
      <c r="K297" s="843">
        <f t="shared" si="16"/>
        <v>35</v>
      </c>
      <c r="L297" s="844"/>
      <c r="M297" s="843">
        <f t="shared" si="17"/>
        <v>0</v>
      </c>
    </row>
    <row r="298" spans="1:13">
      <c r="A298" s="855" t="s">
        <v>1775</v>
      </c>
      <c r="B298" s="836" t="s">
        <v>2773</v>
      </c>
      <c r="C298" s="1164" t="s">
        <v>397</v>
      </c>
      <c r="D298" s="856" t="s">
        <v>18</v>
      </c>
      <c r="E298" s="878"/>
      <c r="F298" s="878"/>
      <c r="G298" s="878">
        <v>9</v>
      </c>
      <c r="H298" s="878"/>
      <c r="I298" s="878"/>
      <c r="J298" s="878"/>
      <c r="K298" s="843">
        <f t="shared" si="16"/>
        <v>9</v>
      </c>
      <c r="L298" s="844"/>
      <c r="M298" s="843">
        <f t="shared" si="17"/>
        <v>0</v>
      </c>
    </row>
    <row r="299" spans="1:13">
      <c r="A299" s="913" t="s">
        <v>958</v>
      </c>
      <c r="B299" s="1093" t="s">
        <v>895</v>
      </c>
      <c r="C299" s="1164" t="s">
        <v>416</v>
      </c>
      <c r="D299" s="856" t="s">
        <v>18</v>
      </c>
      <c r="E299" s="878"/>
      <c r="F299" s="878"/>
      <c r="G299" s="878">
        <v>1</v>
      </c>
      <c r="H299" s="878"/>
      <c r="I299" s="878"/>
      <c r="J299" s="878"/>
      <c r="K299" s="843">
        <f t="shared" si="16"/>
        <v>1</v>
      </c>
      <c r="L299" s="844"/>
      <c r="M299" s="843">
        <f t="shared" si="17"/>
        <v>0</v>
      </c>
    </row>
    <row r="300" spans="1:13" s="874" customFormat="1">
      <c r="A300" s="918" t="s">
        <v>1776</v>
      </c>
      <c r="B300" s="917" t="s">
        <v>795</v>
      </c>
      <c r="C300" s="1167"/>
      <c r="D300" s="932"/>
      <c r="E300" s="888"/>
      <c r="F300" s="888"/>
      <c r="G300" s="888"/>
      <c r="H300" s="888"/>
      <c r="I300" s="888"/>
      <c r="J300" s="888"/>
      <c r="K300" s="873"/>
      <c r="L300" s="873"/>
      <c r="M300" s="938">
        <f>SUM(M301:M315)</f>
        <v>0</v>
      </c>
    </row>
    <row r="301" spans="1:13">
      <c r="A301" s="913" t="s">
        <v>1777</v>
      </c>
      <c r="B301" s="837" t="s">
        <v>796</v>
      </c>
      <c r="C301" s="1166"/>
      <c r="D301" s="914"/>
      <c r="E301" s="902"/>
      <c r="F301" s="902"/>
      <c r="G301" s="902"/>
      <c r="H301" s="883"/>
      <c r="I301" s="883"/>
      <c r="J301" s="883"/>
      <c r="K301" s="843"/>
      <c r="L301" s="843"/>
      <c r="M301" s="843"/>
    </row>
    <row r="302" spans="1:13">
      <c r="A302" s="855" t="s">
        <v>1778</v>
      </c>
      <c r="B302" s="836" t="s">
        <v>2291</v>
      </c>
      <c r="C302" s="1166" t="s">
        <v>969</v>
      </c>
      <c r="D302" s="914" t="s">
        <v>11</v>
      </c>
      <c r="E302" s="892">
        <v>7.5</v>
      </c>
      <c r="F302" s="904"/>
      <c r="G302" s="904"/>
      <c r="H302" s="875"/>
      <c r="I302" s="875"/>
      <c r="J302" s="875"/>
      <c r="K302" s="843">
        <f t="shared" ref="K302:K318" si="18">SUM(E302:J302)</f>
        <v>7.5</v>
      </c>
      <c r="L302" s="844"/>
      <c r="M302" s="843">
        <f t="shared" ref="M302:M335" si="19">K302*L302</f>
        <v>0</v>
      </c>
    </row>
    <row r="303" spans="1:13">
      <c r="A303" s="855" t="s">
        <v>1779</v>
      </c>
      <c r="B303" s="836" t="s">
        <v>2292</v>
      </c>
      <c r="C303" s="1166" t="s">
        <v>969</v>
      </c>
      <c r="D303" s="914" t="s">
        <v>11</v>
      </c>
      <c r="E303" s="892">
        <f>5.5+5+12.5+3.5+6.5+5+5+6+4.5+7.5</f>
        <v>61</v>
      </c>
      <c r="F303" s="904"/>
      <c r="G303" s="904"/>
      <c r="H303" s="875"/>
      <c r="I303" s="875"/>
      <c r="J303" s="875"/>
      <c r="K303" s="843">
        <f t="shared" si="18"/>
        <v>61</v>
      </c>
      <c r="L303" s="844"/>
      <c r="M303" s="843">
        <f t="shared" si="19"/>
        <v>0</v>
      </c>
    </row>
    <row r="304" spans="1:13">
      <c r="A304" s="855" t="s">
        <v>1780</v>
      </c>
      <c r="B304" s="836" t="s">
        <v>852</v>
      </c>
      <c r="C304" s="1166" t="s">
        <v>969</v>
      </c>
      <c r="D304" s="914" t="s">
        <v>11</v>
      </c>
      <c r="E304" s="909"/>
      <c r="F304" s="892">
        <f>7+5+5.5</f>
        <v>17.5</v>
      </c>
      <c r="G304" s="892">
        <v>5</v>
      </c>
      <c r="H304" s="892"/>
      <c r="I304" s="892"/>
      <c r="J304" s="892"/>
      <c r="K304" s="843">
        <f t="shared" si="18"/>
        <v>22.5</v>
      </c>
      <c r="L304" s="844"/>
      <c r="M304" s="843">
        <f t="shared" si="19"/>
        <v>0</v>
      </c>
    </row>
    <row r="305" spans="1:13">
      <c r="A305" s="855" t="s">
        <v>1781</v>
      </c>
      <c r="B305" s="836" t="s">
        <v>799</v>
      </c>
      <c r="C305" s="1166" t="s">
        <v>969</v>
      </c>
      <c r="D305" s="914" t="s">
        <v>11</v>
      </c>
      <c r="E305" s="892">
        <f>10.5+10+10+4+6+5+5.5</f>
        <v>51</v>
      </c>
      <c r="F305" s="892">
        <f>5.5+5+5.5+6+4+8.5+6.5</f>
        <v>41</v>
      </c>
      <c r="G305" s="892"/>
      <c r="H305" s="892"/>
      <c r="I305" s="892"/>
      <c r="J305" s="892"/>
      <c r="K305" s="843">
        <f t="shared" si="18"/>
        <v>92</v>
      </c>
      <c r="L305" s="844"/>
      <c r="M305" s="843">
        <f t="shared" si="19"/>
        <v>0</v>
      </c>
    </row>
    <row r="306" spans="1:13">
      <c r="A306" s="913" t="s">
        <v>1782</v>
      </c>
      <c r="B306" s="837" t="s">
        <v>797</v>
      </c>
      <c r="C306" s="1166"/>
      <c r="D306" s="914"/>
      <c r="E306" s="892"/>
      <c r="F306" s="902"/>
      <c r="G306" s="902"/>
      <c r="H306" s="902"/>
      <c r="I306" s="902"/>
      <c r="J306" s="902"/>
      <c r="K306" s="843"/>
      <c r="L306" s="843"/>
      <c r="M306" s="843"/>
    </row>
    <row r="307" spans="1:13">
      <c r="A307" s="855" t="s">
        <v>1783</v>
      </c>
      <c r="B307" s="836" t="s">
        <v>2293</v>
      </c>
      <c r="C307" s="1166" t="s">
        <v>969</v>
      </c>
      <c r="D307" s="914" t="s">
        <v>18</v>
      </c>
      <c r="E307" s="892">
        <v>4</v>
      </c>
      <c r="F307" s="904"/>
      <c r="G307" s="904"/>
      <c r="H307" s="904"/>
      <c r="I307" s="904"/>
      <c r="J307" s="904"/>
      <c r="K307" s="843">
        <f t="shared" si="18"/>
        <v>4</v>
      </c>
      <c r="L307" s="844"/>
      <c r="M307" s="843">
        <f t="shared" si="19"/>
        <v>0</v>
      </c>
    </row>
    <row r="308" spans="1:13">
      <c r="A308" s="855" t="s">
        <v>1784</v>
      </c>
      <c r="B308" s="836" t="s">
        <v>2294</v>
      </c>
      <c r="C308" s="1166" t="s">
        <v>969</v>
      </c>
      <c r="D308" s="914" t="s">
        <v>18</v>
      </c>
      <c r="E308" s="892">
        <v>45</v>
      </c>
      <c r="F308" s="904"/>
      <c r="G308" s="904"/>
      <c r="H308" s="904"/>
      <c r="I308" s="904"/>
      <c r="J308" s="904"/>
      <c r="K308" s="843">
        <f t="shared" si="18"/>
        <v>45</v>
      </c>
      <c r="L308" s="844"/>
      <c r="M308" s="843">
        <f t="shared" si="19"/>
        <v>0</v>
      </c>
    </row>
    <row r="309" spans="1:13">
      <c r="A309" s="855" t="s">
        <v>1785</v>
      </c>
      <c r="B309" s="836" t="s">
        <v>853</v>
      </c>
      <c r="C309" s="1166" t="s">
        <v>969</v>
      </c>
      <c r="D309" s="914" t="s">
        <v>18</v>
      </c>
      <c r="E309" s="892"/>
      <c r="F309" s="892">
        <v>10</v>
      </c>
      <c r="G309" s="892">
        <v>5</v>
      </c>
      <c r="H309" s="892"/>
      <c r="I309" s="892"/>
      <c r="J309" s="892"/>
      <c r="K309" s="843">
        <f t="shared" si="18"/>
        <v>15</v>
      </c>
      <c r="L309" s="844"/>
      <c r="M309" s="843">
        <f t="shared" si="19"/>
        <v>0</v>
      </c>
    </row>
    <row r="310" spans="1:13">
      <c r="A310" s="855" t="s">
        <v>1786</v>
      </c>
      <c r="B310" s="836" t="s">
        <v>801</v>
      </c>
      <c r="C310" s="1166" t="s">
        <v>969</v>
      </c>
      <c r="D310" s="914" t="s">
        <v>18</v>
      </c>
      <c r="E310" s="892">
        <v>35</v>
      </c>
      <c r="F310" s="892">
        <v>48</v>
      </c>
      <c r="G310" s="892"/>
      <c r="H310" s="892"/>
      <c r="I310" s="892"/>
      <c r="J310" s="892"/>
      <c r="K310" s="843">
        <f t="shared" si="18"/>
        <v>83</v>
      </c>
      <c r="L310" s="844"/>
      <c r="M310" s="843">
        <f t="shared" si="19"/>
        <v>0</v>
      </c>
    </row>
    <row r="311" spans="1:13">
      <c r="A311" s="913" t="s">
        <v>1787</v>
      </c>
      <c r="B311" s="837" t="s">
        <v>798</v>
      </c>
      <c r="C311" s="1166"/>
      <c r="D311" s="914"/>
      <c r="E311" s="892"/>
      <c r="F311" s="904"/>
      <c r="G311" s="904"/>
      <c r="H311" s="904"/>
      <c r="I311" s="904"/>
      <c r="J311" s="904"/>
      <c r="K311" s="843"/>
      <c r="L311" s="843"/>
      <c r="M311" s="843"/>
    </row>
    <row r="312" spans="1:13">
      <c r="A312" s="855" t="s">
        <v>1788</v>
      </c>
      <c r="B312" s="836" t="s">
        <v>2295</v>
      </c>
      <c r="C312" s="1166" t="s">
        <v>969</v>
      </c>
      <c r="D312" s="914" t="s">
        <v>18</v>
      </c>
      <c r="E312" s="892">
        <v>2</v>
      </c>
      <c r="F312" s="904"/>
      <c r="G312" s="904"/>
      <c r="H312" s="904"/>
      <c r="I312" s="904"/>
      <c r="J312" s="904"/>
      <c r="K312" s="843">
        <f t="shared" si="18"/>
        <v>2</v>
      </c>
      <c r="L312" s="844"/>
      <c r="M312" s="843">
        <f t="shared" si="19"/>
        <v>0</v>
      </c>
    </row>
    <row r="313" spans="1:13">
      <c r="A313" s="855" t="s">
        <v>1789</v>
      </c>
      <c r="B313" s="836" t="s">
        <v>2296</v>
      </c>
      <c r="C313" s="1166" t="s">
        <v>969</v>
      </c>
      <c r="D313" s="914" t="s">
        <v>18</v>
      </c>
      <c r="E313" s="892">
        <v>13</v>
      </c>
      <c r="F313" s="904"/>
      <c r="G313" s="904"/>
      <c r="H313" s="904"/>
      <c r="I313" s="904"/>
      <c r="J313" s="904"/>
      <c r="K313" s="843">
        <f t="shared" si="18"/>
        <v>13</v>
      </c>
      <c r="L313" s="844"/>
      <c r="M313" s="843">
        <f t="shared" si="19"/>
        <v>0</v>
      </c>
    </row>
    <row r="314" spans="1:13">
      <c r="A314" s="855" t="s">
        <v>1790</v>
      </c>
      <c r="B314" s="836" t="s">
        <v>854</v>
      </c>
      <c r="C314" s="1166" t="s">
        <v>969</v>
      </c>
      <c r="D314" s="914" t="s">
        <v>18</v>
      </c>
      <c r="E314" s="892"/>
      <c r="F314" s="892">
        <v>6</v>
      </c>
      <c r="G314" s="892">
        <v>2</v>
      </c>
      <c r="H314" s="892"/>
      <c r="I314" s="892"/>
      <c r="J314" s="892"/>
      <c r="K314" s="843">
        <f t="shared" si="18"/>
        <v>8</v>
      </c>
      <c r="L314" s="844"/>
      <c r="M314" s="843">
        <f t="shared" si="19"/>
        <v>0</v>
      </c>
    </row>
    <row r="315" spans="1:13">
      <c r="A315" s="855" t="s">
        <v>1791</v>
      </c>
      <c r="B315" s="836" t="s">
        <v>800</v>
      </c>
      <c r="C315" s="1166" t="s">
        <v>969</v>
      </c>
      <c r="D315" s="914" t="s">
        <v>18</v>
      </c>
      <c r="E315" s="892">
        <v>8</v>
      </c>
      <c r="F315" s="892">
        <v>14</v>
      </c>
      <c r="G315" s="892"/>
      <c r="H315" s="892"/>
      <c r="I315" s="892"/>
      <c r="J315" s="892"/>
      <c r="K315" s="843">
        <f t="shared" si="18"/>
        <v>22</v>
      </c>
      <c r="L315" s="844"/>
      <c r="M315" s="843">
        <f t="shared" si="19"/>
        <v>0</v>
      </c>
    </row>
    <row r="316" spans="1:13" s="874" customFormat="1" ht="28.5">
      <c r="A316" s="918" t="s">
        <v>1792</v>
      </c>
      <c r="B316" s="917" t="s">
        <v>804</v>
      </c>
      <c r="C316" s="1167"/>
      <c r="D316" s="932"/>
      <c r="E316" s="876"/>
      <c r="F316" s="876"/>
      <c r="G316" s="876"/>
      <c r="H316" s="876"/>
      <c r="I316" s="876"/>
      <c r="J316" s="876"/>
      <c r="K316" s="873"/>
      <c r="L316" s="873"/>
      <c r="M316" s="938">
        <f>SUM(M317:M332)</f>
        <v>0</v>
      </c>
    </row>
    <row r="317" spans="1:13">
      <c r="A317" s="913" t="s">
        <v>1793</v>
      </c>
      <c r="B317" s="837" t="s">
        <v>805</v>
      </c>
      <c r="C317" s="1166" t="s">
        <v>970</v>
      </c>
      <c r="D317" s="914" t="s">
        <v>236</v>
      </c>
      <c r="E317" s="892">
        <f>108+54+216</f>
        <v>378</v>
      </c>
      <c r="F317" s="892">
        <v>72</v>
      </c>
      <c r="G317" s="892"/>
      <c r="H317" s="892"/>
      <c r="I317" s="892"/>
      <c r="J317" s="892"/>
      <c r="K317" s="843">
        <f t="shared" si="18"/>
        <v>450</v>
      </c>
      <c r="L317" s="844"/>
      <c r="M317" s="843">
        <f t="shared" si="19"/>
        <v>0</v>
      </c>
    </row>
    <row r="318" spans="1:13">
      <c r="A318" s="913" t="s">
        <v>1794</v>
      </c>
      <c r="B318" s="837" t="s">
        <v>808</v>
      </c>
      <c r="C318" s="1166" t="s">
        <v>970</v>
      </c>
      <c r="D318" s="914" t="s">
        <v>236</v>
      </c>
      <c r="E318" s="892">
        <f>108+54+216</f>
        <v>378</v>
      </c>
      <c r="F318" s="892">
        <v>72</v>
      </c>
      <c r="G318" s="892"/>
      <c r="H318" s="892"/>
      <c r="I318" s="892"/>
      <c r="J318" s="892"/>
      <c r="K318" s="843">
        <f t="shared" si="18"/>
        <v>450</v>
      </c>
      <c r="L318" s="844"/>
      <c r="M318" s="843">
        <f t="shared" si="19"/>
        <v>0</v>
      </c>
    </row>
    <row r="319" spans="1:13">
      <c r="A319" s="913" t="s">
        <v>1795</v>
      </c>
      <c r="B319" s="837" t="s">
        <v>810</v>
      </c>
      <c r="C319" s="1166" t="s">
        <v>970</v>
      </c>
      <c r="D319" s="914" t="s">
        <v>18</v>
      </c>
      <c r="E319" s="892">
        <f>2+1+4</f>
        <v>7</v>
      </c>
      <c r="F319" s="892">
        <v>2</v>
      </c>
      <c r="G319" s="892"/>
      <c r="H319" s="892"/>
      <c r="I319" s="892"/>
      <c r="J319" s="892"/>
      <c r="K319" s="843">
        <f t="shared" ref="K319:K382" si="20">SUM(E319:J319)</f>
        <v>9</v>
      </c>
      <c r="L319" s="844"/>
      <c r="M319" s="843">
        <f t="shared" si="19"/>
        <v>0</v>
      </c>
    </row>
    <row r="320" spans="1:13">
      <c r="A320" s="913" t="s">
        <v>1796</v>
      </c>
      <c r="B320" s="837" t="s">
        <v>811</v>
      </c>
      <c r="C320" s="1166"/>
      <c r="D320" s="914"/>
      <c r="E320" s="904"/>
      <c r="F320" s="904"/>
      <c r="G320" s="904"/>
      <c r="H320" s="904"/>
      <c r="I320" s="904"/>
      <c r="J320" s="904"/>
      <c r="K320" s="843"/>
      <c r="L320" s="843"/>
      <c r="M320" s="843"/>
    </row>
    <row r="321" spans="1:13">
      <c r="A321" s="855" t="s">
        <v>1797</v>
      </c>
      <c r="B321" s="836" t="s">
        <v>2297</v>
      </c>
      <c r="C321" s="1166" t="s">
        <v>970</v>
      </c>
      <c r="D321" s="914" t="s">
        <v>11</v>
      </c>
      <c r="E321" s="892">
        <f>4.5+7</f>
        <v>11.5</v>
      </c>
      <c r="F321" s="904"/>
      <c r="G321" s="904"/>
      <c r="H321" s="904"/>
      <c r="I321" s="904"/>
      <c r="J321" s="904"/>
      <c r="K321" s="843">
        <f t="shared" si="20"/>
        <v>11.5</v>
      </c>
      <c r="L321" s="844"/>
      <c r="M321" s="843">
        <f t="shared" si="19"/>
        <v>0</v>
      </c>
    </row>
    <row r="322" spans="1:13">
      <c r="A322" s="855" t="s">
        <v>1798</v>
      </c>
      <c r="B322" s="836" t="s">
        <v>813</v>
      </c>
      <c r="C322" s="1166" t="s">
        <v>970</v>
      </c>
      <c r="D322" s="914" t="s">
        <v>11</v>
      </c>
      <c r="E322" s="892">
        <v>14</v>
      </c>
      <c r="F322" s="892">
        <f>28.5+12.5</f>
        <v>41</v>
      </c>
      <c r="G322" s="892"/>
      <c r="H322" s="892"/>
      <c r="I322" s="892"/>
      <c r="J322" s="892"/>
      <c r="K322" s="843">
        <f t="shared" si="20"/>
        <v>55</v>
      </c>
      <c r="L322" s="844"/>
      <c r="M322" s="843">
        <f t="shared" si="19"/>
        <v>0</v>
      </c>
    </row>
    <row r="323" spans="1:13">
      <c r="A323" s="855" t="s">
        <v>1799</v>
      </c>
      <c r="B323" s="836" t="s">
        <v>816</v>
      </c>
      <c r="C323" s="1166" t="s">
        <v>970</v>
      </c>
      <c r="D323" s="914" t="s">
        <v>11</v>
      </c>
      <c r="E323" s="892">
        <f>16+15+26+10</f>
        <v>67</v>
      </c>
      <c r="F323" s="904"/>
      <c r="G323" s="904"/>
      <c r="H323" s="904"/>
      <c r="I323" s="904"/>
      <c r="J323" s="904"/>
      <c r="K323" s="843">
        <f t="shared" si="20"/>
        <v>67</v>
      </c>
      <c r="L323" s="844"/>
      <c r="M323" s="843">
        <f t="shared" si="19"/>
        <v>0</v>
      </c>
    </row>
    <row r="324" spans="1:13">
      <c r="A324" s="913" t="s">
        <v>1800</v>
      </c>
      <c r="B324" s="837" t="s">
        <v>797</v>
      </c>
      <c r="C324" s="1166"/>
      <c r="D324" s="914"/>
      <c r="E324" s="904"/>
      <c r="F324" s="904"/>
      <c r="G324" s="904"/>
      <c r="H324" s="904"/>
      <c r="I324" s="904"/>
      <c r="J324" s="904"/>
      <c r="K324" s="843"/>
      <c r="L324" s="843"/>
      <c r="M324" s="843"/>
    </row>
    <row r="325" spans="1:13">
      <c r="A325" s="855" t="s">
        <v>1801</v>
      </c>
      <c r="B325" s="836" t="s">
        <v>2327</v>
      </c>
      <c r="C325" s="1166" t="s">
        <v>970</v>
      </c>
      <c r="D325" s="914" t="s">
        <v>18</v>
      </c>
      <c r="E325" s="892">
        <v>8</v>
      </c>
      <c r="F325" s="904"/>
      <c r="G325" s="904"/>
      <c r="H325" s="904"/>
      <c r="I325" s="904"/>
      <c r="J325" s="904"/>
      <c r="K325" s="843">
        <f t="shared" si="20"/>
        <v>8</v>
      </c>
      <c r="L325" s="844"/>
      <c r="M325" s="843">
        <f t="shared" si="19"/>
        <v>0</v>
      </c>
    </row>
    <row r="326" spans="1:13">
      <c r="A326" s="855" t="s">
        <v>1802</v>
      </c>
      <c r="B326" s="836" t="s">
        <v>801</v>
      </c>
      <c r="C326" s="1166" t="s">
        <v>970</v>
      </c>
      <c r="D326" s="914" t="s">
        <v>18</v>
      </c>
      <c r="E326" s="892">
        <v>8</v>
      </c>
      <c r="F326" s="892">
        <v>18</v>
      </c>
      <c r="G326" s="892"/>
      <c r="H326" s="892"/>
      <c r="I326" s="892"/>
      <c r="J326" s="892"/>
      <c r="K326" s="843">
        <f t="shared" si="20"/>
        <v>26</v>
      </c>
      <c r="L326" s="844"/>
      <c r="M326" s="843">
        <f t="shared" si="19"/>
        <v>0</v>
      </c>
    </row>
    <row r="327" spans="1:13">
      <c r="A327" s="913" t="s">
        <v>1803</v>
      </c>
      <c r="B327" s="837" t="s">
        <v>798</v>
      </c>
      <c r="C327" s="1166"/>
      <c r="D327" s="914"/>
      <c r="E327" s="904"/>
      <c r="F327" s="904"/>
      <c r="G327" s="904"/>
      <c r="H327" s="904"/>
      <c r="I327" s="904"/>
      <c r="J327" s="904"/>
      <c r="K327" s="843"/>
      <c r="L327" s="843"/>
      <c r="M327" s="843"/>
    </row>
    <row r="328" spans="1:13">
      <c r="A328" s="855" t="s">
        <v>1804</v>
      </c>
      <c r="B328" s="836" t="s">
        <v>2328</v>
      </c>
      <c r="C328" s="1166" t="s">
        <v>970</v>
      </c>
      <c r="D328" s="914" t="s">
        <v>18</v>
      </c>
      <c r="E328" s="892">
        <v>1</v>
      </c>
      <c r="F328" s="904"/>
      <c r="G328" s="904"/>
      <c r="H328" s="904"/>
      <c r="I328" s="904"/>
      <c r="J328" s="904"/>
      <c r="K328" s="843">
        <f t="shared" si="20"/>
        <v>1</v>
      </c>
      <c r="L328" s="844"/>
      <c r="M328" s="843">
        <f t="shared" si="19"/>
        <v>0</v>
      </c>
    </row>
    <row r="329" spans="1:13">
      <c r="A329" s="855" t="s">
        <v>1805</v>
      </c>
      <c r="B329" s="836" t="s">
        <v>800</v>
      </c>
      <c r="C329" s="1166" t="s">
        <v>970</v>
      </c>
      <c r="D329" s="914" t="s">
        <v>18</v>
      </c>
      <c r="E329" s="892">
        <v>1</v>
      </c>
      <c r="F329" s="892">
        <v>4</v>
      </c>
      <c r="G329" s="892"/>
      <c r="H329" s="892"/>
      <c r="I329" s="892"/>
      <c r="J329" s="892"/>
      <c r="K329" s="843">
        <f t="shared" si="20"/>
        <v>5</v>
      </c>
      <c r="L329" s="844"/>
      <c r="M329" s="843">
        <f t="shared" si="19"/>
        <v>0</v>
      </c>
    </row>
    <row r="330" spans="1:13">
      <c r="A330" s="855" t="s">
        <v>1806</v>
      </c>
      <c r="B330" s="836" t="s">
        <v>851</v>
      </c>
      <c r="C330" s="1166" t="s">
        <v>970</v>
      </c>
      <c r="D330" s="914" t="s">
        <v>18</v>
      </c>
      <c r="E330" s="892">
        <v>5</v>
      </c>
      <c r="F330" s="904"/>
      <c r="G330" s="904"/>
      <c r="H330" s="904"/>
      <c r="I330" s="904"/>
      <c r="J330" s="904"/>
      <c r="K330" s="843">
        <f t="shared" si="20"/>
        <v>5</v>
      </c>
      <c r="L330" s="844"/>
      <c r="M330" s="843">
        <f t="shared" si="19"/>
        <v>0</v>
      </c>
    </row>
    <row r="331" spans="1:13">
      <c r="A331" s="913" t="s">
        <v>1807</v>
      </c>
      <c r="B331" s="837" t="s">
        <v>802</v>
      </c>
      <c r="C331" s="1166"/>
      <c r="D331" s="914"/>
      <c r="E331" s="904"/>
      <c r="F331" s="904"/>
      <c r="G331" s="904"/>
      <c r="H331" s="904"/>
      <c r="I331" s="904"/>
      <c r="J331" s="904"/>
      <c r="K331" s="843"/>
      <c r="L331" s="843"/>
      <c r="M331" s="843"/>
    </row>
    <row r="332" spans="1:13">
      <c r="A332" s="855" t="s">
        <v>1808</v>
      </c>
      <c r="B332" s="836" t="s">
        <v>818</v>
      </c>
      <c r="C332" s="1166" t="s">
        <v>970</v>
      </c>
      <c r="D332" s="914" t="s">
        <v>18</v>
      </c>
      <c r="E332" s="892">
        <v>36</v>
      </c>
      <c r="F332" s="904"/>
      <c r="G332" s="904"/>
      <c r="H332" s="904"/>
      <c r="I332" s="904"/>
      <c r="J332" s="904"/>
      <c r="K332" s="843">
        <f t="shared" si="20"/>
        <v>36</v>
      </c>
      <c r="L332" s="844"/>
      <c r="M332" s="843">
        <f t="shared" si="19"/>
        <v>0</v>
      </c>
    </row>
    <row r="333" spans="1:13" s="874" customFormat="1">
      <c r="A333" s="918" t="s">
        <v>1809</v>
      </c>
      <c r="B333" s="917" t="s">
        <v>803</v>
      </c>
      <c r="C333" s="1167"/>
      <c r="D333" s="932"/>
      <c r="E333" s="888"/>
      <c r="F333" s="888"/>
      <c r="G333" s="888"/>
      <c r="H333" s="888"/>
      <c r="I333" s="888"/>
      <c r="J333" s="888"/>
      <c r="K333" s="873"/>
      <c r="L333" s="873"/>
      <c r="M333" s="938">
        <f>SUM(M334:M342)</f>
        <v>0</v>
      </c>
    </row>
    <row r="334" spans="1:13" s="874" customFormat="1">
      <c r="A334" s="913" t="s">
        <v>1810</v>
      </c>
      <c r="B334" s="837" t="s">
        <v>1061</v>
      </c>
      <c r="C334" s="1166"/>
      <c r="D334" s="914"/>
      <c r="E334" s="902"/>
      <c r="F334" s="902"/>
      <c r="G334" s="902"/>
      <c r="H334" s="902"/>
      <c r="I334" s="902"/>
      <c r="J334" s="902"/>
      <c r="K334" s="843"/>
      <c r="L334" s="843"/>
      <c r="M334" s="843"/>
    </row>
    <row r="335" spans="1:13">
      <c r="A335" s="880" t="s">
        <v>1811</v>
      </c>
      <c r="B335" s="836" t="s">
        <v>896</v>
      </c>
      <c r="C335" s="1166" t="s">
        <v>971</v>
      </c>
      <c r="D335" s="914" t="s">
        <v>11</v>
      </c>
      <c r="E335" s="892">
        <f>10+7</f>
        <v>17</v>
      </c>
      <c r="F335" s="904"/>
      <c r="G335" s="904"/>
      <c r="H335" s="904"/>
      <c r="I335" s="904"/>
      <c r="J335" s="904"/>
      <c r="K335" s="843">
        <f t="shared" si="20"/>
        <v>17</v>
      </c>
      <c r="L335" s="844"/>
      <c r="M335" s="843">
        <f t="shared" si="19"/>
        <v>0</v>
      </c>
    </row>
    <row r="336" spans="1:13">
      <c r="A336" s="880" t="s">
        <v>1812</v>
      </c>
      <c r="B336" s="836" t="s">
        <v>799</v>
      </c>
      <c r="C336" s="1166" t="s">
        <v>971</v>
      </c>
      <c r="D336" s="914" t="s">
        <v>11</v>
      </c>
      <c r="E336" s="912"/>
      <c r="F336" s="904"/>
      <c r="G336" s="892">
        <f>9+6+3+6+6+4+3+16+12+6</f>
        <v>71</v>
      </c>
      <c r="H336" s="892"/>
      <c r="I336" s="892"/>
      <c r="J336" s="892"/>
      <c r="K336" s="843">
        <f t="shared" si="20"/>
        <v>71</v>
      </c>
      <c r="L336" s="844"/>
      <c r="M336" s="843">
        <f t="shared" ref="M336:M391" si="21">K336*L336</f>
        <v>0</v>
      </c>
    </row>
    <row r="337" spans="1:13">
      <c r="A337" s="913" t="s">
        <v>1813</v>
      </c>
      <c r="B337" s="837" t="s">
        <v>797</v>
      </c>
      <c r="C337" s="1166"/>
      <c r="D337" s="914"/>
      <c r="E337" s="892"/>
      <c r="F337" s="904"/>
      <c r="G337" s="904"/>
      <c r="H337" s="904"/>
      <c r="I337" s="904"/>
      <c r="J337" s="904"/>
      <c r="K337" s="843"/>
      <c r="L337" s="843"/>
      <c r="M337" s="843"/>
    </row>
    <row r="338" spans="1:13">
      <c r="A338" s="880" t="s">
        <v>1814</v>
      </c>
      <c r="B338" s="836" t="s">
        <v>897</v>
      </c>
      <c r="C338" s="1166" t="s">
        <v>971</v>
      </c>
      <c r="D338" s="914" t="s">
        <v>18</v>
      </c>
      <c r="E338" s="892">
        <v>35</v>
      </c>
      <c r="F338" s="904"/>
      <c r="G338" s="904"/>
      <c r="H338" s="904"/>
      <c r="I338" s="904"/>
      <c r="J338" s="904"/>
      <c r="K338" s="843">
        <f t="shared" si="20"/>
        <v>35</v>
      </c>
      <c r="L338" s="844"/>
      <c r="M338" s="843">
        <f t="shared" si="21"/>
        <v>0</v>
      </c>
    </row>
    <row r="339" spans="1:13">
      <c r="A339" s="880" t="s">
        <v>1815</v>
      </c>
      <c r="B339" s="836" t="s">
        <v>899</v>
      </c>
      <c r="C339" s="1166" t="s">
        <v>971</v>
      </c>
      <c r="D339" s="914" t="s">
        <v>18</v>
      </c>
      <c r="E339" s="912"/>
      <c r="F339" s="904"/>
      <c r="G339" s="892">
        <v>61</v>
      </c>
      <c r="H339" s="892"/>
      <c r="I339" s="892"/>
      <c r="J339" s="892"/>
      <c r="K339" s="843">
        <f t="shared" si="20"/>
        <v>61</v>
      </c>
      <c r="L339" s="844"/>
      <c r="M339" s="843">
        <f t="shared" si="21"/>
        <v>0</v>
      </c>
    </row>
    <row r="340" spans="1:13">
      <c r="A340" s="913" t="s">
        <v>1816</v>
      </c>
      <c r="B340" s="837" t="s">
        <v>798</v>
      </c>
      <c r="C340" s="1166"/>
      <c r="D340" s="914"/>
      <c r="E340" s="892"/>
      <c r="F340" s="904"/>
      <c r="G340" s="904"/>
      <c r="H340" s="904"/>
      <c r="I340" s="904"/>
      <c r="J340" s="904"/>
      <c r="K340" s="843"/>
      <c r="L340" s="843"/>
      <c r="M340" s="843"/>
    </row>
    <row r="341" spans="1:13">
      <c r="A341" s="880" t="s">
        <v>1817</v>
      </c>
      <c r="B341" s="836" t="s">
        <v>898</v>
      </c>
      <c r="C341" s="1166" t="s">
        <v>971</v>
      </c>
      <c r="D341" s="914" t="s">
        <v>18</v>
      </c>
      <c r="E341" s="892">
        <v>4</v>
      </c>
      <c r="F341" s="904"/>
      <c r="G341" s="904"/>
      <c r="H341" s="904"/>
      <c r="I341" s="904"/>
      <c r="J341" s="904"/>
      <c r="K341" s="843">
        <f t="shared" si="20"/>
        <v>4</v>
      </c>
      <c r="L341" s="844"/>
      <c r="M341" s="843">
        <f t="shared" si="21"/>
        <v>0</v>
      </c>
    </row>
    <row r="342" spans="1:13">
      <c r="A342" s="880" t="s">
        <v>1818</v>
      </c>
      <c r="B342" s="836" t="s">
        <v>900</v>
      </c>
      <c r="C342" s="1166" t="s">
        <v>971</v>
      </c>
      <c r="D342" s="914" t="s">
        <v>18</v>
      </c>
      <c r="E342" s="892"/>
      <c r="F342" s="904"/>
      <c r="G342" s="892">
        <v>18</v>
      </c>
      <c r="H342" s="892"/>
      <c r="I342" s="892"/>
      <c r="J342" s="892"/>
      <c r="K342" s="843">
        <f t="shared" si="20"/>
        <v>18</v>
      </c>
      <c r="L342" s="844"/>
      <c r="M342" s="843">
        <f t="shared" si="21"/>
        <v>0</v>
      </c>
    </row>
    <row r="343" spans="1:13" s="874" customFormat="1" ht="28.5">
      <c r="A343" s="918" t="s">
        <v>1819</v>
      </c>
      <c r="B343" s="917" t="s">
        <v>855</v>
      </c>
      <c r="C343" s="1167"/>
      <c r="D343" s="932"/>
      <c r="E343" s="888"/>
      <c r="F343" s="888"/>
      <c r="G343" s="888"/>
      <c r="H343" s="888"/>
      <c r="I343" s="888"/>
      <c r="J343" s="888"/>
      <c r="K343" s="873"/>
      <c r="L343" s="873"/>
      <c r="M343" s="938">
        <f>SUM(M344:M349)</f>
        <v>0</v>
      </c>
    </row>
    <row r="344" spans="1:13">
      <c r="A344" s="913" t="s">
        <v>1820</v>
      </c>
      <c r="B344" s="837" t="s">
        <v>805</v>
      </c>
      <c r="C344" s="1166" t="s">
        <v>972</v>
      </c>
      <c r="D344" s="914" t="s">
        <v>236</v>
      </c>
      <c r="E344" s="908"/>
      <c r="F344" s="892">
        <v>36</v>
      </c>
      <c r="G344" s="892"/>
      <c r="H344" s="892"/>
      <c r="I344" s="892"/>
      <c r="J344" s="892"/>
      <c r="K344" s="843">
        <f t="shared" si="20"/>
        <v>36</v>
      </c>
      <c r="L344" s="844"/>
      <c r="M344" s="843">
        <f t="shared" si="21"/>
        <v>0</v>
      </c>
    </row>
    <row r="345" spans="1:13">
      <c r="A345" s="913" t="s">
        <v>1821</v>
      </c>
      <c r="B345" s="837" t="s">
        <v>808</v>
      </c>
      <c r="C345" s="1166" t="s">
        <v>972</v>
      </c>
      <c r="D345" s="914" t="s">
        <v>236</v>
      </c>
      <c r="E345" s="908"/>
      <c r="F345" s="892">
        <v>36</v>
      </c>
      <c r="G345" s="892"/>
      <c r="H345" s="892"/>
      <c r="I345" s="892"/>
      <c r="J345" s="892"/>
      <c r="K345" s="843">
        <f t="shared" si="20"/>
        <v>36</v>
      </c>
      <c r="L345" s="844"/>
      <c r="M345" s="843">
        <f t="shared" si="21"/>
        <v>0</v>
      </c>
    </row>
    <row r="346" spans="1:13">
      <c r="A346" s="913" t="s">
        <v>1822</v>
      </c>
      <c r="B346" s="837" t="s">
        <v>810</v>
      </c>
      <c r="C346" s="1166" t="s">
        <v>972</v>
      </c>
      <c r="D346" s="914" t="s">
        <v>18</v>
      </c>
      <c r="E346" s="908"/>
      <c r="F346" s="892">
        <v>1</v>
      </c>
      <c r="G346" s="892"/>
      <c r="H346" s="892"/>
      <c r="I346" s="892"/>
      <c r="J346" s="892"/>
      <c r="K346" s="843">
        <f t="shared" si="20"/>
        <v>1</v>
      </c>
      <c r="L346" s="844"/>
      <c r="M346" s="843">
        <f t="shared" si="21"/>
        <v>0</v>
      </c>
    </row>
    <row r="347" spans="1:13">
      <c r="A347" s="913" t="s">
        <v>1823</v>
      </c>
      <c r="B347" s="837" t="s">
        <v>856</v>
      </c>
      <c r="C347" s="1166" t="s">
        <v>972</v>
      </c>
      <c r="D347" s="914" t="s">
        <v>11</v>
      </c>
      <c r="E347" s="908"/>
      <c r="F347" s="892">
        <v>21</v>
      </c>
      <c r="G347" s="892"/>
      <c r="H347" s="892"/>
      <c r="I347" s="892"/>
      <c r="J347" s="892"/>
      <c r="K347" s="843">
        <f t="shared" si="20"/>
        <v>21</v>
      </c>
      <c r="L347" s="844"/>
      <c r="M347" s="843">
        <f t="shared" si="21"/>
        <v>0</v>
      </c>
    </row>
    <row r="348" spans="1:13">
      <c r="A348" s="913" t="s">
        <v>1824</v>
      </c>
      <c r="B348" s="837" t="s">
        <v>853</v>
      </c>
      <c r="C348" s="1166" t="s">
        <v>972</v>
      </c>
      <c r="D348" s="914" t="s">
        <v>18</v>
      </c>
      <c r="E348" s="908"/>
      <c r="F348" s="892">
        <v>22</v>
      </c>
      <c r="G348" s="892"/>
      <c r="H348" s="892"/>
      <c r="I348" s="892"/>
      <c r="J348" s="892"/>
      <c r="K348" s="843">
        <f t="shared" si="20"/>
        <v>22</v>
      </c>
      <c r="L348" s="844"/>
      <c r="M348" s="843">
        <f t="shared" si="21"/>
        <v>0</v>
      </c>
    </row>
    <row r="349" spans="1:13">
      <c r="A349" s="913" t="s">
        <v>1825</v>
      </c>
      <c r="B349" s="837" t="s">
        <v>854</v>
      </c>
      <c r="C349" s="1166" t="s">
        <v>972</v>
      </c>
      <c r="D349" s="914" t="s">
        <v>18</v>
      </c>
      <c r="E349" s="908"/>
      <c r="F349" s="892">
        <v>2</v>
      </c>
      <c r="G349" s="892"/>
      <c r="H349" s="892"/>
      <c r="I349" s="892"/>
      <c r="J349" s="892"/>
      <c r="K349" s="843">
        <f t="shared" si="20"/>
        <v>2</v>
      </c>
      <c r="L349" s="844"/>
      <c r="M349" s="843">
        <f t="shared" si="21"/>
        <v>0</v>
      </c>
    </row>
    <row r="350" spans="1:13" s="874" customFormat="1">
      <c r="A350" s="918" t="s">
        <v>1826</v>
      </c>
      <c r="B350" s="917" t="s">
        <v>901</v>
      </c>
      <c r="C350" s="1167"/>
      <c r="D350" s="932"/>
      <c r="E350" s="888"/>
      <c r="F350" s="888"/>
      <c r="G350" s="888"/>
      <c r="H350" s="888"/>
      <c r="I350" s="888"/>
      <c r="J350" s="888"/>
      <c r="K350" s="873"/>
      <c r="L350" s="873"/>
      <c r="M350" s="873">
        <f>SUM(M351:M356)</f>
        <v>0</v>
      </c>
    </row>
    <row r="351" spans="1:13">
      <c r="A351" s="913" t="s">
        <v>1827</v>
      </c>
      <c r="B351" s="837" t="s">
        <v>805</v>
      </c>
      <c r="C351" s="1166" t="s">
        <v>973</v>
      </c>
      <c r="D351" s="914" t="s">
        <v>236</v>
      </c>
      <c r="E351" s="845"/>
      <c r="F351" s="875"/>
      <c r="G351" s="892">
        <v>162</v>
      </c>
      <c r="H351" s="892"/>
      <c r="I351" s="892"/>
      <c r="J351" s="892"/>
      <c r="K351" s="843">
        <f t="shared" si="20"/>
        <v>162</v>
      </c>
      <c r="L351" s="844"/>
      <c r="M351" s="843">
        <f t="shared" si="21"/>
        <v>0</v>
      </c>
    </row>
    <row r="352" spans="1:13">
      <c r="A352" s="913" t="s">
        <v>1828</v>
      </c>
      <c r="B352" s="837" t="s">
        <v>808</v>
      </c>
      <c r="C352" s="1166" t="s">
        <v>973</v>
      </c>
      <c r="D352" s="914" t="s">
        <v>236</v>
      </c>
      <c r="E352" s="845"/>
      <c r="F352" s="875"/>
      <c r="G352" s="892">
        <v>162</v>
      </c>
      <c r="H352" s="892"/>
      <c r="I352" s="892"/>
      <c r="J352" s="892"/>
      <c r="K352" s="843">
        <f t="shared" si="20"/>
        <v>162</v>
      </c>
      <c r="L352" s="844"/>
      <c r="M352" s="843">
        <f t="shared" si="21"/>
        <v>0</v>
      </c>
    </row>
    <row r="353" spans="1:13">
      <c r="A353" s="913" t="s">
        <v>1829</v>
      </c>
      <c r="B353" s="837" t="s">
        <v>810</v>
      </c>
      <c r="C353" s="1166" t="s">
        <v>973</v>
      </c>
      <c r="D353" s="914" t="s">
        <v>18</v>
      </c>
      <c r="E353" s="845"/>
      <c r="F353" s="875"/>
      <c r="G353" s="892">
        <v>2</v>
      </c>
      <c r="H353" s="892"/>
      <c r="I353" s="892"/>
      <c r="J353" s="892"/>
      <c r="K353" s="843">
        <f t="shared" si="20"/>
        <v>2</v>
      </c>
      <c r="L353" s="844"/>
      <c r="M353" s="843">
        <f t="shared" si="21"/>
        <v>0</v>
      </c>
    </row>
    <row r="354" spans="1:13">
      <c r="A354" s="913" t="s">
        <v>1830</v>
      </c>
      <c r="B354" s="837" t="s">
        <v>903</v>
      </c>
      <c r="C354" s="1166" t="s">
        <v>973</v>
      </c>
      <c r="D354" s="914" t="s">
        <v>11</v>
      </c>
      <c r="E354" s="845"/>
      <c r="F354" s="875"/>
      <c r="G354" s="892">
        <f>12+12</f>
        <v>24</v>
      </c>
      <c r="H354" s="892"/>
      <c r="I354" s="892"/>
      <c r="J354" s="892"/>
      <c r="K354" s="843">
        <f t="shared" si="20"/>
        <v>24</v>
      </c>
      <c r="L354" s="844"/>
      <c r="M354" s="843">
        <f t="shared" si="21"/>
        <v>0</v>
      </c>
    </row>
    <row r="355" spans="1:13">
      <c r="A355" s="913" t="s">
        <v>1831</v>
      </c>
      <c r="B355" s="837" t="s">
        <v>902</v>
      </c>
      <c r="C355" s="1166" t="s">
        <v>973</v>
      </c>
      <c r="D355" s="914" t="s">
        <v>18</v>
      </c>
      <c r="E355" s="845"/>
      <c r="F355" s="875"/>
      <c r="G355" s="892">
        <v>18</v>
      </c>
      <c r="H355" s="892"/>
      <c r="I355" s="892"/>
      <c r="J355" s="892"/>
      <c r="K355" s="843">
        <f t="shared" si="20"/>
        <v>18</v>
      </c>
      <c r="L355" s="844"/>
      <c r="M355" s="843">
        <f t="shared" si="21"/>
        <v>0</v>
      </c>
    </row>
    <row r="356" spans="1:13">
      <c r="A356" s="913" t="s">
        <v>1832</v>
      </c>
      <c r="B356" s="837" t="s">
        <v>800</v>
      </c>
      <c r="C356" s="1166" t="s">
        <v>973</v>
      </c>
      <c r="D356" s="914" t="s">
        <v>18</v>
      </c>
      <c r="E356" s="845"/>
      <c r="F356" s="875"/>
      <c r="G356" s="892">
        <v>3</v>
      </c>
      <c r="H356" s="892"/>
      <c r="I356" s="892"/>
      <c r="J356" s="892"/>
      <c r="K356" s="843">
        <f t="shared" si="20"/>
        <v>3</v>
      </c>
      <c r="L356" s="844"/>
      <c r="M356" s="843">
        <f t="shared" si="21"/>
        <v>0</v>
      </c>
    </row>
    <row r="357" spans="1:13">
      <c r="A357" s="858" t="s">
        <v>1833</v>
      </c>
      <c r="B357" s="1080" t="s">
        <v>348</v>
      </c>
      <c r="C357" s="1172"/>
      <c r="D357" s="931"/>
      <c r="E357" s="885"/>
      <c r="F357" s="885"/>
      <c r="G357" s="885"/>
      <c r="H357" s="885"/>
      <c r="I357" s="885"/>
      <c r="J357" s="885"/>
      <c r="K357" s="857"/>
      <c r="L357" s="847"/>
      <c r="M357" s="847">
        <f>SUM(M358:M391)</f>
        <v>0</v>
      </c>
    </row>
    <row r="358" spans="1:13" ht="18" customHeight="1">
      <c r="A358" s="927" t="s">
        <v>1834</v>
      </c>
      <c r="B358" s="915" t="s">
        <v>423</v>
      </c>
      <c r="C358" s="1174" t="s">
        <v>580</v>
      </c>
      <c r="D358" s="911" t="s">
        <v>18</v>
      </c>
      <c r="E358" s="879">
        <v>1</v>
      </c>
      <c r="F358" s="879">
        <v>1</v>
      </c>
      <c r="G358" s="879">
        <v>1</v>
      </c>
      <c r="H358" s="879">
        <v>1</v>
      </c>
      <c r="I358" s="879">
        <v>1</v>
      </c>
      <c r="J358" s="879">
        <v>1</v>
      </c>
      <c r="K358" s="843">
        <f t="shared" si="20"/>
        <v>6</v>
      </c>
      <c r="L358" s="863"/>
      <c r="M358" s="843">
        <f t="shared" si="21"/>
        <v>0</v>
      </c>
    </row>
    <row r="359" spans="1:13">
      <c r="A359" s="927" t="s">
        <v>1835</v>
      </c>
      <c r="B359" s="915" t="s">
        <v>737</v>
      </c>
      <c r="C359" s="1174"/>
      <c r="D359" s="911"/>
      <c r="E359" s="879"/>
      <c r="F359" s="879"/>
      <c r="G359" s="879"/>
      <c r="H359" s="879"/>
      <c r="I359" s="879"/>
      <c r="J359" s="879"/>
      <c r="K359" s="843"/>
      <c r="L359" s="854"/>
      <c r="M359" s="843"/>
    </row>
    <row r="360" spans="1:13">
      <c r="A360" s="855" t="s">
        <v>1836</v>
      </c>
      <c r="B360" s="900" t="s">
        <v>937</v>
      </c>
      <c r="C360" s="1174" t="s">
        <v>936</v>
      </c>
      <c r="D360" s="911" t="s">
        <v>18</v>
      </c>
      <c r="E360" s="879">
        <v>23725</v>
      </c>
      <c r="F360" s="879">
        <v>11970</v>
      </c>
      <c r="G360" s="879">
        <v>11550</v>
      </c>
      <c r="H360" s="879"/>
      <c r="I360" s="879"/>
      <c r="J360" s="879"/>
      <c r="K360" s="843">
        <f t="shared" si="20"/>
        <v>47245</v>
      </c>
      <c r="L360" s="863"/>
      <c r="M360" s="843">
        <f t="shared" si="21"/>
        <v>0</v>
      </c>
    </row>
    <row r="361" spans="1:13">
      <c r="A361" s="855" t="s">
        <v>1837</v>
      </c>
      <c r="B361" s="900" t="s">
        <v>938</v>
      </c>
      <c r="C361" s="1174" t="s">
        <v>936</v>
      </c>
      <c r="D361" s="911" t="s">
        <v>18</v>
      </c>
      <c r="E361" s="879"/>
      <c r="F361" s="879"/>
      <c r="G361" s="879"/>
      <c r="H361" s="879">
        <v>2</v>
      </c>
      <c r="I361" s="879">
        <v>6</v>
      </c>
      <c r="J361" s="879">
        <v>7</v>
      </c>
      <c r="K361" s="843">
        <f t="shared" si="20"/>
        <v>15</v>
      </c>
      <c r="L361" s="863"/>
      <c r="M361" s="843">
        <f t="shared" si="21"/>
        <v>0</v>
      </c>
    </row>
    <row r="362" spans="1:13">
      <c r="A362" s="927" t="s">
        <v>1838</v>
      </c>
      <c r="B362" s="1095" t="s">
        <v>820</v>
      </c>
      <c r="C362" s="1174"/>
      <c r="D362" s="911"/>
      <c r="E362" s="879"/>
      <c r="F362" s="879"/>
      <c r="G362" s="879"/>
      <c r="H362" s="879"/>
      <c r="I362" s="879"/>
      <c r="J362" s="879"/>
      <c r="K362" s="843"/>
      <c r="L362" s="854"/>
      <c r="M362" s="843"/>
    </row>
    <row r="363" spans="1:13">
      <c r="A363" s="855" t="s">
        <v>1839</v>
      </c>
      <c r="B363" s="900" t="s">
        <v>822</v>
      </c>
      <c r="C363" s="1174" t="s">
        <v>823</v>
      </c>
      <c r="D363" s="911" t="s">
        <v>18</v>
      </c>
      <c r="E363" s="879">
        <v>24</v>
      </c>
      <c r="F363" s="879">
        <v>14</v>
      </c>
      <c r="G363" s="879">
        <v>10</v>
      </c>
      <c r="H363" s="879"/>
      <c r="I363" s="879"/>
      <c r="J363" s="879"/>
      <c r="K363" s="843">
        <f t="shared" si="20"/>
        <v>48</v>
      </c>
      <c r="L363" s="863"/>
      <c r="M363" s="843">
        <f t="shared" si="21"/>
        <v>0</v>
      </c>
    </row>
    <row r="364" spans="1:13">
      <c r="A364" s="855" t="s">
        <v>1840</v>
      </c>
      <c r="B364" s="900" t="s">
        <v>821</v>
      </c>
      <c r="C364" s="1174" t="s">
        <v>823</v>
      </c>
      <c r="D364" s="911" t="s">
        <v>18</v>
      </c>
      <c r="E364" s="879">
        <v>73</v>
      </c>
      <c r="F364" s="879">
        <v>38</v>
      </c>
      <c r="G364" s="879">
        <v>35</v>
      </c>
      <c r="H364" s="879"/>
      <c r="I364" s="879"/>
      <c r="J364" s="879"/>
      <c r="K364" s="843">
        <f t="shared" si="20"/>
        <v>146</v>
      </c>
      <c r="L364" s="863"/>
      <c r="M364" s="843">
        <f t="shared" si="21"/>
        <v>0</v>
      </c>
    </row>
    <row r="365" spans="1:13" ht="30.75" customHeight="1">
      <c r="A365" s="913" t="s">
        <v>1841</v>
      </c>
      <c r="B365" s="916" t="s">
        <v>904</v>
      </c>
      <c r="C365" s="1176" t="s">
        <v>2349</v>
      </c>
      <c r="D365" s="911"/>
      <c r="E365" s="879"/>
      <c r="F365" s="879"/>
      <c r="G365" s="879"/>
      <c r="H365" s="879"/>
      <c r="I365" s="879"/>
      <c r="J365" s="879"/>
      <c r="K365" s="843"/>
      <c r="L365" s="854"/>
      <c r="M365" s="843"/>
    </row>
    <row r="366" spans="1:13">
      <c r="A366" s="855" t="s">
        <v>1842</v>
      </c>
      <c r="B366" s="900" t="s">
        <v>906</v>
      </c>
      <c r="C366" s="1174"/>
      <c r="D366" s="911" t="s">
        <v>18</v>
      </c>
      <c r="E366" s="879">
        <v>7</v>
      </c>
      <c r="F366" s="879">
        <v>2</v>
      </c>
      <c r="G366" s="879">
        <v>2</v>
      </c>
      <c r="H366" s="879"/>
      <c r="I366" s="879"/>
      <c r="J366" s="879"/>
      <c r="K366" s="843">
        <f t="shared" si="20"/>
        <v>11</v>
      </c>
      <c r="L366" s="863"/>
      <c r="M366" s="843">
        <f t="shared" si="21"/>
        <v>0</v>
      </c>
    </row>
    <row r="367" spans="1:13">
      <c r="A367" s="855" t="s">
        <v>1843</v>
      </c>
      <c r="B367" s="900" t="s">
        <v>824</v>
      </c>
      <c r="C367" s="1174"/>
      <c r="D367" s="911" t="s">
        <v>18</v>
      </c>
      <c r="E367" s="879">
        <v>2</v>
      </c>
      <c r="F367" s="879">
        <v>1</v>
      </c>
      <c r="G367" s="879"/>
      <c r="H367" s="879"/>
      <c r="I367" s="879"/>
      <c r="J367" s="879"/>
      <c r="K367" s="843">
        <f t="shared" si="20"/>
        <v>3</v>
      </c>
      <c r="L367" s="863"/>
      <c r="M367" s="843">
        <f t="shared" si="21"/>
        <v>0</v>
      </c>
    </row>
    <row r="368" spans="1:13">
      <c r="A368" s="855" t="s">
        <v>1844</v>
      </c>
      <c r="B368" s="900" t="s">
        <v>905</v>
      </c>
      <c r="C368" s="1174"/>
      <c r="D368" s="911" t="s">
        <v>18</v>
      </c>
      <c r="E368" s="879"/>
      <c r="F368" s="879"/>
      <c r="G368" s="879">
        <v>4</v>
      </c>
      <c r="H368" s="879"/>
      <c r="I368" s="879"/>
      <c r="J368" s="879"/>
      <c r="K368" s="843">
        <f t="shared" si="20"/>
        <v>4</v>
      </c>
      <c r="L368" s="863"/>
      <c r="M368" s="843">
        <f t="shared" si="21"/>
        <v>0</v>
      </c>
    </row>
    <row r="369" spans="1:13">
      <c r="A369" s="913" t="s">
        <v>1845</v>
      </c>
      <c r="B369" s="916" t="s">
        <v>907</v>
      </c>
      <c r="C369" s="1174" t="s">
        <v>2349</v>
      </c>
      <c r="D369" s="911" t="s">
        <v>18</v>
      </c>
      <c r="E369" s="879"/>
      <c r="F369" s="879"/>
      <c r="G369" s="879">
        <v>2</v>
      </c>
      <c r="H369" s="879"/>
      <c r="I369" s="879"/>
      <c r="J369" s="879"/>
      <c r="K369" s="843">
        <f t="shared" si="20"/>
        <v>2</v>
      </c>
      <c r="L369" s="863"/>
      <c r="M369" s="843">
        <f t="shared" si="21"/>
        <v>0</v>
      </c>
    </row>
    <row r="370" spans="1:13">
      <c r="A370" s="913" t="s">
        <v>1846</v>
      </c>
      <c r="B370" s="916" t="s">
        <v>825</v>
      </c>
      <c r="C370" s="1174" t="s">
        <v>552</v>
      </c>
      <c r="D370" s="911"/>
      <c r="E370" s="879"/>
      <c r="F370" s="879"/>
      <c r="G370" s="879"/>
      <c r="H370" s="879"/>
      <c r="I370" s="879"/>
      <c r="J370" s="879"/>
      <c r="K370" s="843"/>
      <c r="L370" s="854"/>
      <c r="M370" s="843"/>
    </row>
    <row r="371" spans="1:13">
      <c r="A371" s="855" t="s">
        <v>1847</v>
      </c>
      <c r="B371" s="900" t="s">
        <v>2347</v>
      </c>
      <c r="C371" s="1174" t="s">
        <v>2350</v>
      </c>
      <c r="D371" s="911" t="s">
        <v>18</v>
      </c>
      <c r="E371" s="879">
        <v>105</v>
      </c>
      <c r="F371" s="879">
        <v>65</v>
      </c>
      <c r="G371" s="879">
        <v>107</v>
      </c>
      <c r="H371" s="879">
        <v>50</v>
      </c>
      <c r="I371" s="879">
        <v>50</v>
      </c>
      <c r="J371" s="879">
        <v>50</v>
      </c>
      <c r="K371" s="843">
        <f t="shared" si="20"/>
        <v>427</v>
      </c>
      <c r="L371" s="863"/>
      <c r="M371" s="843">
        <f t="shared" si="21"/>
        <v>0</v>
      </c>
    </row>
    <row r="372" spans="1:13">
      <c r="A372" s="855" t="s">
        <v>1848</v>
      </c>
      <c r="B372" s="900" t="s">
        <v>2348</v>
      </c>
      <c r="C372" s="1174" t="s">
        <v>2351</v>
      </c>
      <c r="D372" s="911" t="s">
        <v>18</v>
      </c>
      <c r="E372" s="879">
        <v>54</v>
      </c>
      <c r="F372" s="879">
        <v>25</v>
      </c>
      <c r="G372" s="879">
        <v>57</v>
      </c>
      <c r="H372" s="879">
        <v>50</v>
      </c>
      <c r="I372" s="879">
        <v>50</v>
      </c>
      <c r="J372" s="879">
        <v>50</v>
      </c>
      <c r="K372" s="843">
        <f t="shared" si="20"/>
        <v>286</v>
      </c>
      <c r="L372" s="863"/>
      <c r="M372" s="843">
        <f t="shared" si="21"/>
        <v>0</v>
      </c>
    </row>
    <row r="373" spans="1:13">
      <c r="A373" s="855" t="s">
        <v>1849</v>
      </c>
      <c r="B373" s="900" t="s">
        <v>2352</v>
      </c>
      <c r="C373" s="1174" t="s">
        <v>2353</v>
      </c>
      <c r="D373" s="911" t="s">
        <v>18</v>
      </c>
      <c r="E373" s="879">
        <v>32</v>
      </c>
      <c r="F373" s="879">
        <v>20</v>
      </c>
      <c r="G373" s="879">
        <v>10</v>
      </c>
      <c r="H373" s="879">
        <v>10</v>
      </c>
      <c r="I373" s="879">
        <v>10</v>
      </c>
      <c r="J373" s="879">
        <v>10</v>
      </c>
      <c r="K373" s="843">
        <f t="shared" si="20"/>
        <v>92</v>
      </c>
      <c r="L373" s="863"/>
      <c r="M373" s="843">
        <f t="shared" si="21"/>
        <v>0</v>
      </c>
    </row>
    <row r="374" spans="1:13">
      <c r="A374" s="913" t="s">
        <v>1850</v>
      </c>
      <c r="B374" s="916" t="s">
        <v>827</v>
      </c>
      <c r="C374" s="1174"/>
      <c r="D374" s="911"/>
      <c r="E374" s="879"/>
      <c r="F374" s="879"/>
      <c r="G374" s="879"/>
      <c r="H374" s="879"/>
      <c r="I374" s="879"/>
      <c r="J374" s="879"/>
      <c r="K374" s="843"/>
      <c r="L374" s="854"/>
      <c r="M374" s="843"/>
    </row>
    <row r="375" spans="1:13">
      <c r="A375" s="855" t="s">
        <v>1851</v>
      </c>
      <c r="B375" s="900" t="s">
        <v>828</v>
      </c>
      <c r="C375" s="1174" t="s">
        <v>435</v>
      </c>
      <c r="D375" s="911" t="s">
        <v>11</v>
      </c>
      <c r="E375" s="879">
        <v>4317</v>
      </c>
      <c r="F375" s="879">
        <v>5755</v>
      </c>
      <c r="G375" s="879">
        <v>1553</v>
      </c>
      <c r="H375" s="879">
        <v>222.35</v>
      </c>
      <c r="I375" s="879">
        <v>769</v>
      </c>
      <c r="J375" s="879">
        <v>1905</v>
      </c>
      <c r="K375" s="843">
        <f t="shared" si="20"/>
        <v>14521.35</v>
      </c>
      <c r="L375" s="863"/>
      <c r="M375" s="843">
        <f t="shared" si="21"/>
        <v>0</v>
      </c>
    </row>
    <row r="376" spans="1:13">
      <c r="A376" s="855" t="s">
        <v>1852</v>
      </c>
      <c r="B376" s="900" t="s">
        <v>857</v>
      </c>
      <c r="C376" s="1174" t="s">
        <v>435</v>
      </c>
      <c r="D376" s="911" t="s">
        <v>11</v>
      </c>
      <c r="E376" s="879"/>
      <c r="F376" s="879">
        <v>917</v>
      </c>
      <c r="G376" s="879">
        <v>4128</v>
      </c>
      <c r="H376" s="879"/>
      <c r="I376" s="879"/>
      <c r="J376" s="879"/>
      <c r="K376" s="843">
        <f t="shared" si="20"/>
        <v>5045</v>
      </c>
      <c r="L376" s="863"/>
      <c r="M376" s="843">
        <f t="shared" si="21"/>
        <v>0</v>
      </c>
    </row>
    <row r="377" spans="1:13">
      <c r="A377" s="855" t="s">
        <v>1853</v>
      </c>
      <c r="B377" s="900" t="s">
        <v>2329</v>
      </c>
      <c r="C377" s="1174" t="s">
        <v>435</v>
      </c>
      <c r="D377" s="911" t="s">
        <v>11</v>
      </c>
      <c r="E377" s="879">
        <v>4494</v>
      </c>
      <c r="F377" s="879"/>
      <c r="G377" s="879"/>
      <c r="H377" s="879"/>
      <c r="I377" s="879"/>
      <c r="J377" s="879"/>
      <c r="K377" s="843">
        <f t="shared" si="20"/>
        <v>4494</v>
      </c>
      <c r="L377" s="863"/>
      <c r="M377" s="843">
        <f t="shared" si="21"/>
        <v>0</v>
      </c>
    </row>
    <row r="378" spans="1:13">
      <c r="A378" s="855" t="s">
        <v>1854</v>
      </c>
      <c r="B378" s="900" t="s">
        <v>2330</v>
      </c>
      <c r="C378" s="1174" t="s">
        <v>435</v>
      </c>
      <c r="D378" s="911" t="s">
        <v>11</v>
      </c>
      <c r="E378" s="879">
        <v>625</v>
      </c>
      <c r="F378" s="879"/>
      <c r="G378" s="879"/>
      <c r="H378" s="879"/>
      <c r="I378" s="879"/>
      <c r="J378" s="879"/>
      <c r="K378" s="843">
        <f t="shared" si="20"/>
        <v>625</v>
      </c>
      <c r="L378" s="863"/>
      <c r="M378" s="843">
        <f t="shared" si="21"/>
        <v>0</v>
      </c>
    </row>
    <row r="379" spans="1:13">
      <c r="A379" s="855" t="s">
        <v>1855</v>
      </c>
      <c r="B379" s="900" t="s">
        <v>829</v>
      </c>
      <c r="C379" s="1174" t="s">
        <v>435</v>
      </c>
      <c r="D379" s="911" t="s">
        <v>11</v>
      </c>
      <c r="E379" s="879">
        <v>3040</v>
      </c>
      <c r="F379" s="879"/>
      <c r="G379" s="879"/>
      <c r="H379" s="879"/>
      <c r="I379" s="879"/>
      <c r="J379" s="879"/>
      <c r="K379" s="843">
        <f t="shared" si="20"/>
        <v>3040</v>
      </c>
      <c r="L379" s="863"/>
      <c r="M379" s="843">
        <f t="shared" si="21"/>
        <v>0</v>
      </c>
    </row>
    <row r="380" spans="1:13">
      <c r="A380" s="913" t="s">
        <v>1856</v>
      </c>
      <c r="B380" s="916" t="s">
        <v>830</v>
      </c>
      <c r="C380" s="1174" t="s">
        <v>831</v>
      </c>
      <c r="D380" s="911" t="s">
        <v>11</v>
      </c>
      <c r="E380" s="879">
        <f>4317+4494+625+3040</f>
        <v>12476</v>
      </c>
      <c r="F380" s="879">
        <f>5755+917</f>
        <v>6672</v>
      </c>
      <c r="G380" s="879">
        <v>5681</v>
      </c>
      <c r="H380" s="879">
        <v>222.35</v>
      </c>
      <c r="I380" s="879">
        <v>769</v>
      </c>
      <c r="J380" s="879">
        <v>1905</v>
      </c>
      <c r="K380" s="843">
        <f t="shared" si="20"/>
        <v>27725.35</v>
      </c>
      <c r="L380" s="863"/>
      <c r="M380" s="843">
        <f t="shared" si="21"/>
        <v>0</v>
      </c>
    </row>
    <row r="381" spans="1:13">
      <c r="A381" s="913" t="s">
        <v>1857</v>
      </c>
      <c r="B381" s="916" t="s">
        <v>832</v>
      </c>
      <c r="C381" s="1174"/>
      <c r="D381" s="911"/>
      <c r="E381" s="879"/>
      <c r="F381" s="879"/>
      <c r="G381" s="879"/>
      <c r="H381" s="879"/>
      <c r="I381" s="879"/>
      <c r="J381" s="879"/>
      <c r="K381" s="843"/>
      <c r="L381" s="854"/>
      <c r="M381" s="843"/>
    </row>
    <row r="382" spans="1:13">
      <c r="A382" s="855" t="s">
        <v>1858</v>
      </c>
      <c r="B382" s="900" t="s">
        <v>908</v>
      </c>
      <c r="C382" s="1174" t="s">
        <v>831</v>
      </c>
      <c r="D382" s="911" t="s">
        <v>236</v>
      </c>
      <c r="E382" s="879">
        <v>900</v>
      </c>
      <c r="F382" s="879">
        <v>180</v>
      </c>
      <c r="G382" s="879"/>
      <c r="H382" s="879"/>
      <c r="I382" s="879"/>
      <c r="J382" s="879"/>
      <c r="K382" s="843">
        <f t="shared" si="20"/>
        <v>1080</v>
      </c>
      <c r="L382" s="863"/>
      <c r="M382" s="843">
        <f t="shared" si="21"/>
        <v>0</v>
      </c>
    </row>
    <row r="383" spans="1:13">
      <c r="A383" s="855" t="s">
        <v>1859</v>
      </c>
      <c r="B383" s="900" t="s">
        <v>909</v>
      </c>
      <c r="C383" s="1174" t="s">
        <v>831</v>
      </c>
      <c r="D383" s="911" t="s">
        <v>11</v>
      </c>
      <c r="E383" s="879"/>
      <c r="F383" s="879"/>
      <c r="G383" s="879">
        <v>5681</v>
      </c>
      <c r="H383" s="879">
        <v>222.35</v>
      </c>
      <c r="I383" s="879">
        <v>769</v>
      </c>
      <c r="J383" s="879">
        <v>1905</v>
      </c>
      <c r="K383" s="843">
        <f t="shared" ref="K383:K391" si="22">SUM(E383:J383)</f>
        <v>8577.35</v>
      </c>
      <c r="L383" s="863"/>
      <c r="M383" s="843">
        <f t="shared" si="21"/>
        <v>0</v>
      </c>
    </row>
    <row r="384" spans="1:13">
      <c r="A384" s="913" t="s">
        <v>1860</v>
      </c>
      <c r="B384" s="916" t="s">
        <v>833</v>
      </c>
      <c r="C384" s="1174" t="s">
        <v>834</v>
      </c>
      <c r="D384" s="911" t="s">
        <v>18</v>
      </c>
      <c r="E384" s="879">
        <v>73</v>
      </c>
      <c r="F384" s="879">
        <v>38</v>
      </c>
      <c r="G384" s="879">
        <v>36</v>
      </c>
      <c r="H384" s="879"/>
      <c r="I384" s="879"/>
      <c r="J384" s="879"/>
      <c r="K384" s="843">
        <f t="shared" si="22"/>
        <v>147</v>
      </c>
      <c r="L384" s="863"/>
      <c r="M384" s="843">
        <f t="shared" si="21"/>
        <v>0</v>
      </c>
    </row>
    <row r="385" spans="1:13">
      <c r="A385" s="913" t="s">
        <v>1861</v>
      </c>
      <c r="B385" s="916" t="s">
        <v>939</v>
      </c>
      <c r="C385" s="1174" t="s">
        <v>940</v>
      </c>
      <c r="D385" s="911" t="s">
        <v>18</v>
      </c>
      <c r="E385" s="859"/>
      <c r="F385" s="859"/>
      <c r="G385" s="859"/>
      <c r="H385" s="879">
        <v>1</v>
      </c>
      <c r="I385" s="879">
        <v>1</v>
      </c>
      <c r="J385" s="879">
        <v>1</v>
      </c>
      <c r="K385" s="843">
        <f t="shared" si="22"/>
        <v>3</v>
      </c>
      <c r="L385" s="863"/>
      <c r="M385" s="843">
        <f t="shared" si="21"/>
        <v>0</v>
      </c>
    </row>
    <row r="386" spans="1:13">
      <c r="A386" s="913" t="s">
        <v>1862</v>
      </c>
      <c r="B386" s="916" t="s">
        <v>943</v>
      </c>
      <c r="C386" s="1174" t="s">
        <v>944</v>
      </c>
      <c r="D386" s="911" t="s">
        <v>11</v>
      </c>
      <c r="E386" s="859"/>
      <c r="F386" s="859"/>
      <c r="G386" s="859"/>
      <c r="H386" s="879"/>
      <c r="I386" s="879">
        <v>10</v>
      </c>
      <c r="J386" s="879">
        <v>30</v>
      </c>
      <c r="K386" s="843">
        <f t="shared" si="22"/>
        <v>40</v>
      </c>
      <c r="L386" s="863"/>
      <c r="M386" s="843">
        <f t="shared" si="21"/>
        <v>0</v>
      </c>
    </row>
    <row r="387" spans="1:13">
      <c r="A387" s="913" t="s">
        <v>1863</v>
      </c>
      <c r="B387" s="916" t="s">
        <v>949</v>
      </c>
      <c r="C387" s="1174"/>
      <c r="D387" s="911"/>
      <c r="E387" s="859"/>
      <c r="F387" s="859"/>
      <c r="G387" s="859"/>
      <c r="H387" s="879"/>
      <c r="I387" s="879"/>
      <c r="J387" s="879"/>
      <c r="K387" s="843"/>
      <c r="L387" s="854"/>
      <c r="M387" s="843"/>
    </row>
    <row r="388" spans="1:13">
      <c r="A388" s="855" t="s">
        <v>1864</v>
      </c>
      <c r="B388" s="900" t="s">
        <v>950</v>
      </c>
      <c r="C388" s="1174" t="s">
        <v>953</v>
      </c>
      <c r="D388" s="911" t="s">
        <v>18</v>
      </c>
      <c r="E388" s="859"/>
      <c r="F388" s="859"/>
      <c r="G388" s="859"/>
      <c r="H388" s="879"/>
      <c r="I388" s="879">
        <v>1</v>
      </c>
      <c r="J388" s="879"/>
      <c r="K388" s="843">
        <f t="shared" si="22"/>
        <v>1</v>
      </c>
      <c r="L388" s="863"/>
      <c r="M388" s="843">
        <f t="shared" si="21"/>
        <v>0</v>
      </c>
    </row>
    <row r="389" spans="1:13">
      <c r="A389" s="855" t="s">
        <v>1865</v>
      </c>
      <c r="B389" s="900" t="s">
        <v>951</v>
      </c>
      <c r="C389" s="1174" t="s">
        <v>953</v>
      </c>
      <c r="D389" s="911" t="s">
        <v>18</v>
      </c>
      <c r="E389" s="859"/>
      <c r="F389" s="859"/>
      <c r="G389" s="859"/>
      <c r="H389" s="879"/>
      <c r="I389" s="879">
        <v>1</v>
      </c>
      <c r="J389" s="879"/>
      <c r="K389" s="843">
        <f t="shared" si="22"/>
        <v>1</v>
      </c>
      <c r="L389" s="863"/>
      <c r="M389" s="843">
        <f t="shared" si="21"/>
        <v>0</v>
      </c>
    </row>
    <row r="390" spans="1:13">
      <c r="A390" s="855" t="s">
        <v>1866</v>
      </c>
      <c r="B390" s="900" t="s">
        <v>957</v>
      </c>
      <c r="C390" s="1174" t="s">
        <v>953</v>
      </c>
      <c r="D390" s="911" t="s">
        <v>18</v>
      </c>
      <c r="E390" s="859"/>
      <c r="F390" s="859"/>
      <c r="G390" s="859"/>
      <c r="H390" s="879"/>
      <c r="I390" s="879"/>
      <c r="J390" s="879">
        <v>1</v>
      </c>
      <c r="K390" s="843">
        <f t="shared" si="22"/>
        <v>1</v>
      </c>
      <c r="L390" s="863"/>
      <c r="M390" s="843">
        <f t="shared" si="21"/>
        <v>0</v>
      </c>
    </row>
    <row r="391" spans="1:13">
      <c r="A391" s="855" t="s">
        <v>1867</v>
      </c>
      <c r="B391" s="900" t="s">
        <v>952</v>
      </c>
      <c r="C391" s="1174" t="s">
        <v>953</v>
      </c>
      <c r="D391" s="911" t="s">
        <v>18</v>
      </c>
      <c r="E391" s="859"/>
      <c r="F391" s="859"/>
      <c r="G391" s="859"/>
      <c r="H391" s="879"/>
      <c r="I391" s="879">
        <v>10</v>
      </c>
      <c r="J391" s="879">
        <v>10</v>
      </c>
      <c r="K391" s="843">
        <f t="shared" si="22"/>
        <v>20</v>
      </c>
      <c r="L391" s="863"/>
      <c r="M391" s="843">
        <f t="shared" si="21"/>
        <v>0</v>
      </c>
    </row>
  </sheetData>
  <sheetProtection algorithmName="SHA-512" hashValue="XkPcaP3iRB+G729bRZ0fqRLF3FX7DYR4MphNxPE4Wg+wCgyEquA8joFoEkk72xBZJf+zXRgcrvWSGhaP3OAlwQ==" saltValue="DdOf0lIBeGJLwtutkzYE/A==" spinCount="100000" sheet="1" objects="1" scenarios="1"/>
  <mergeCells count="2">
    <mergeCell ref="H2:J2"/>
    <mergeCell ref="E2:F2"/>
  </mergeCells>
  <phoneticPr fontId="4" type="noConversion"/>
  <pageMargins left="0.7" right="0.7" top="0.75" bottom="0.75" header="0.3" footer="0.3"/>
  <pageSetup paperSize="9" scale="71" orientation="portrait" r:id="rId1"/>
  <colBreaks count="2" manualBreakCount="2">
    <brk id="2" max="390" man="1"/>
    <brk id="10" max="390"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213"/>
  <sheetViews>
    <sheetView view="pageBreakPreview" zoomScale="25" zoomScaleNormal="60" zoomScaleSheetLayoutView="25" workbookViewId="0">
      <pane ySplit="3" topLeftCell="A4" activePane="bottomLeft" state="frozen"/>
      <selection pane="bottomLeft" activeCell="E1" sqref="E1:Z1048576"/>
    </sheetView>
  </sheetViews>
  <sheetFormatPr defaultRowHeight="14.25"/>
  <cols>
    <col min="1" max="1" width="12.85546875" style="1107" customWidth="1"/>
    <col min="2" max="2" width="80.140625" style="1107" customWidth="1"/>
    <col min="3" max="3" width="17.42578125" style="1107" customWidth="1"/>
    <col min="4" max="4" width="9.140625" style="1107" customWidth="1"/>
    <col min="5" max="5" width="20.7109375" style="1131" hidden="1" customWidth="1"/>
    <col min="6" max="6" width="21.7109375" style="1131" hidden="1" customWidth="1"/>
    <col min="7" max="26" width="23.5703125" style="1131" hidden="1" customWidth="1"/>
    <col min="27" max="27" width="12.5703125" style="1107" customWidth="1"/>
    <col min="28" max="29" width="15.140625" style="1107" customWidth="1"/>
    <col min="30" max="16384" width="9.140625" style="1107"/>
  </cols>
  <sheetData>
    <row r="1" spans="1:29" ht="15" thickBot="1">
      <c r="A1" s="1103" t="s">
        <v>2251</v>
      </c>
      <c r="B1" s="1104"/>
      <c r="C1" s="1217"/>
      <c r="D1" s="1104"/>
      <c r="E1" s="1104"/>
      <c r="F1" s="1104"/>
      <c r="G1" s="1104"/>
      <c r="H1" s="1104"/>
      <c r="I1" s="1104"/>
      <c r="J1" s="1104"/>
      <c r="K1" s="1104"/>
      <c r="L1" s="1104"/>
      <c r="M1" s="1104"/>
      <c r="N1" s="1104"/>
      <c r="O1" s="1104"/>
      <c r="P1" s="1104"/>
      <c r="Q1" s="1104"/>
      <c r="R1" s="1104"/>
      <c r="S1" s="1104"/>
      <c r="T1" s="1104"/>
      <c r="U1" s="1104"/>
      <c r="V1" s="1104"/>
      <c r="W1" s="1104"/>
      <c r="X1" s="1104"/>
      <c r="Y1" s="1104"/>
      <c r="Z1" s="1104"/>
      <c r="AA1" s="1105"/>
      <c r="AB1" s="1105"/>
      <c r="AC1" s="1106"/>
    </row>
    <row r="2" spans="1:29" ht="14.25" customHeight="1">
      <c r="A2" s="1313" t="s">
        <v>222</v>
      </c>
      <c r="B2" s="1315" t="s">
        <v>223</v>
      </c>
      <c r="C2" s="1310" t="s">
        <v>230</v>
      </c>
      <c r="D2" s="1310" t="s">
        <v>224</v>
      </c>
      <c r="E2" s="1218"/>
      <c r="F2" s="1219"/>
      <c r="G2" s="1220"/>
      <c r="H2" s="1220"/>
      <c r="I2" s="1220"/>
      <c r="J2" s="1220"/>
      <c r="K2" s="1220"/>
      <c r="L2" s="1220"/>
      <c r="M2" s="1220"/>
      <c r="N2" s="1220"/>
      <c r="O2" s="1220"/>
      <c r="P2" s="1220"/>
      <c r="Q2" s="1220"/>
      <c r="R2" s="1220"/>
      <c r="S2" s="1220"/>
      <c r="T2" s="1220"/>
      <c r="U2" s="1220"/>
      <c r="V2" s="1220"/>
      <c r="W2" s="1220"/>
      <c r="X2" s="1220"/>
      <c r="Y2" s="1220"/>
      <c r="Z2" s="1220"/>
      <c r="AA2" s="1310" t="s">
        <v>341</v>
      </c>
      <c r="AB2" s="1310" t="s">
        <v>342</v>
      </c>
      <c r="AC2" s="1312" t="s">
        <v>343</v>
      </c>
    </row>
    <row r="3" spans="1:29" ht="58.5" customHeight="1" thickBot="1">
      <c r="A3" s="1314"/>
      <c r="B3" s="1316"/>
      <c r="C3" s="1311"/>
      <c r="D3" s="1311"/>
      <c r="E3" s="1221" t="s">
        <v>2774</v>
      </c>
      <c r="F3" s="1221" t="s">
        <v>2775</v>
      </c>
      <c r="G3" s="1221" t="s">
        <v>2776</v>
      </c>
      <c r="H3" s="1221" t="s">
        <v>2777</v>
      </c>
      <c r="I3" s="1221" t="s">
        <v>2778</v>
      </c>
      <c r="J3" s="1221" t="s">
        <v>2779</v>
      </c>
      <c r="K3" s="1221" t="s">
        <v>2780</v>
      </c>
      <c r="L3" s="1221" t="s">
        <v>2781</v>
      </c>
      <c r="M3" s="1221" t="s">
        <v>2782</v>
      </c>
      <c r="N3" s="1221" t="s">
        <v>2783</v>
      </c>
      <c r="O3" s="1221" t="s">
        <v>2784</v>
      </c>
      <c r="P3" s="1221" t="s">
        <v>2785</v>
      </c>
      <c r="Q3" s="1221" t="s">
        <v>2786</v>
      </c>
      <c r="R3" s="1221" t="s">
        <v>2787</v>
      </c>
      <c r="S3" s="1221" t="s">
        <v>2788</v>
      </c>
      <c r="T3" s="1221" t="s">
        <v>2789</v>
      </c>
      <c r="U3" s="1221" t="s">
        <v>2790</v>
      </c>
      <c r="V3" s="1221" t="s">
        <v>2791</v>
      </c>
      <c r="W3" s="1221" t="s">
        <v>2792</v>
      </c>
      <c r="X3" s="1221" t="s">
        <v>2793</v>
      </c>
      <c r="Y3" s="1221" t="s">
        <v>2794</v>
      </c>
      <c r="Z3" s="1221" t="s">
        <v>2795</v>
      </c>
      <c r="AA3" s="1311"/>
      <c r="AB3" s="1311"/>
      <c r="AC3" s="1312"/>
    </row>
    <row r="4" spans="1:29">
      <c r="A4" s="1110">
        <v>5</v>
      </c>
      <c r="B4" s="1110" t="s">
        <v>2253</v>
      </c>
      <c r="C4" s="1146" t="s">
        <v>2264</v>
      </c>
      <c r="D4" s="1112"/>
      <c r="E4" s="1113"/>
      <c r="F4" s="1113"/>
      <c r="G4" s="1113"/>
      <c r="H4" s="1113"/>
      <c r="I4" s="1113"/>
      <c r="J4" s="1113"/>
      <c r="K4" s="1113"/>
      <c r="L4" s="1113"/>
      <c r="M4" s="1113"/>
      <c r="N4" s="1113"/>
      <c r="O4" s="1113"/>
      <c r="P4" s="1113"/>
      <c r="Q4" s="1113"/>
      <c r="R4" s="1113"/>
      <c r="S4" s="1113"/>
      <c r="T4" s="1113"/>
      <c r="U4" s="1113"/>
      <c r="V4" s="1113"/>
      <c r="W4" s="1113"/>
      <c r="X4" s="1113"/>
      <c r="Y4" s="1113"/>
      <c r="Z4" s="1113"/>
      <c r="AA4" s="1114"/>
      <c r="AB4" s="1115"/>
      <c r="AC4" s="1116">
        <f>AC5+AC9+AC49++AC78+AC61+AC103+AC113+AC185</f>
        <v>0</v>
      </c>
    </row>
    <row r="5" spans="1:29">
      <c r="A5" s="1117" t="s">
        <v>194</v>
      </c>
      <c r="B5" s="1117" t="s">
        <v>228</v>
      </c>
      <c r="C5" s="739"/>
      <c r="D5" s="1222"/>
      <c r="E5" s="1223"/>
      <c r="F5" s="1223"/>
      <c r="G5" s="1223"/>
      <c r="H5" s="1223"/>
      <c r="I5" s="1223"/>
      <c r="J5" s="1223"/>
      <c r="K5" s="1223"/>
      <c r="L5" s="1223"/>
      <c r="M5" s="1223"/>
      <c r="N5" s="1223"/>
      <c r="O5" s="1223"/>
      <c r="P5" s="1223"/>
      <c r="Q5" s="1223"/>
      <c r="R5" s="1223"/>
      <c r="S5" s="1223"/>
      <c r="T5" s="1223"/>
      <c r="U5" s="1223"/>
      <c r="V5" s="1223"/>
      <c r="W5" s="1223"/>
      <c r="X5" s="1223"/>
      <c r="Y5" s="1223"/>
      <c r="Z5" s="1223"/>
      <c r="AA5" s="1224"/>
      <c r="AB5" s="1121"/>
      <c r="AC5" s="1121">
        <f>SUM(AC6:AC8)</f>
        <v>0</v>
      </c>
    </row>
    <row r="6" spans="1:29">
      <c r="A6" s="1225" t="s">
        <v>1868</v>
      </c>
      <c r="B6" s="1226" t="s">
        <v>2335</v>
      </c>
      <c r="C6" s="1433" t="str">
        <f>'1. KOLEKTORI'!C6</f>
        <v>2.2.2.</v>
      </c>
      <c r="D6" s="1228" t="s">
        <v>18</v>
      </c>
      <c r="E6" s="1229">
        <v>1</v>
      </c>
      <c r="F6" s="1229">
        <v>1</v>
      </c>
      <c r="G6" s="1229">
        <v>1</v>
      </c>
      <c r="H6" s="1229">
        <v>1</v>
      </c>
      <c r="I6" s="1229">
        <v>1</v>
      </c>
      <c r="J6" s="1229">
        <v>1</v>
      </c>
      <c r="K6" s="1229">
        <v>1</v>
      </c>
      <c r="L6" s="1229">
        <v>1</v>
      </c>
      <c r="M6" s="1229">
        <v>1</v>
      </c>
      <c r="N6" s="1229">
        <v>1</v>
      </c>
      <c r="O6" s="1229">
        <v>1</v>
      </c>
      <c r="P6" s="1229">
        <v>1</v>
      </c>
      <c r="Q6" s="1229">
        <v>1</v>
      </c>
      <c r="R6" s="1229">
        <v>1</v>
      </c>
      <c r="S6" s="1229">
        <v>1</v>
      </c>
      <c r="T6" s="1229">
        <v>1</v>
      </c>
      <c r="U6" s="1229">
        <v>1</v>
      </c>
      <c r="V6" s="1229">
        <v>1</v>
      </c>
      <c r="W6" s="1229">
        <v>1</v>
      </c>
      <c r="X6" s="1229">
        <v>1</v>
      </c>
      <c r="Y6" s="1229">
        <v>1</v>
      </c>
      <c r="Z6" s="1229">
        <v>1</v>
      </c>
      <c r="AA6" s="997">
        <f t="shared" ref="AA6" si="0">SUM(E6:Z6)</f>
        <v>22</v>
      </c>
      <c r="AB6" s="767"/>
      <c r="AC6" s="997">
        <f t="shared" ref="AC6" si="1">AA6*AB6</f>
        <v>0</v>
      </c>
    </row>
    <row r="7" spans="1:29">
      <c r="A7" s="1230"/>
      <c r="B7" s="946" t="s">
        <v>2336</v>
      </c>
      <c r="C7" s="1434" t="str">
        <f>'1. KOLEKTORI'!C11</f>
        <v>2.2.5.</v>
      </c>
      <c r="D7" s="1228" t="s">
        <v>18</v>
      </c>
      <c r="E7" s="1229">
        <v>1</v>
      </c>
      <c r="F7" s="1229">
        <v>1</v>
      </c>
      <c r="G7" s="1229">
        <v>1</v>
      </c>
      <c r="H7" s="1229">
        <v>1</v>
      </c>
      <c r="I7" s="1229">
        <v>1</v>
      </c>
      <c r="J7" s="1229">
        <v>1</v>
      </c>
      <c r="K7" s="1229">
        <v>1</v>
      </c>
      <c r="L7" s="1229">
        <v>1</v>
      </c>
      <c r="M7" s="1229">
        <v>1</v>
      </c>
      <c r="N7" s="1229">
        <v>1</v>
      </c>
      <c r="O7" s="1229">
        <v>1</v>
      </c>
      <c r="P7" s="1229">
        <v>1</v>
      </c>
      <c r="Q7" s="1229">
        <v>1</v>
      </c>
      <c r="R7" s="1229">
        <v>1</v>
      </c>
      <c r="S7" s="1229">
        <v>1</v>
      </c>
      <c r="T7" s="1229">
        <v>1</v>
      </c>
      <c r="U7" s="1229">
        <v>1</v>
      </c>
      <c r="V7" s="1229">
        <v>1</v>
      </c>
      <c r="W7" s="1229">
        <v>1</v>
      </c>
      <c r="X7" s="1229">
        <v>1</v>
      </c>
      <c r="Y7" s="1229">
        <v>1</v>
      </c>
      <c r="Z7" s="1229">
        <v>1</v>
      </c>
      <c r="AA7" s="997">
        <f t="shared" ref="AA7:AA8" si="2">SUM(E7:Z7)</f>
        <v>22</v>
      </c>
      <c r="AB7" s="767"/>
      <c r="AC7" s="997">
        <f t="shared" ref="AC7:AC8" si="3">AA7*AB7</f>
        <v>0</v>
      </c>
    </row>
    <row r="8" spans="1:29">
      <c r="A8" s="1230"/>
      <c r="B8" s="946" t="s">
        <v>669</v>
      </c>
      <c r="C8" s="1434" t="str">
        <f>'1. KOLEKTORI'!C10</f>
        <v>1.9.2./2.2.4</v>
      </c>
      <c r="D8" s="1228" t="s">
        <v>18</v>
      </c>
      <c r="E8" s="1229">
        <v>1</v>
      </c>
      <c r="F8" s="1229">
        <v>1</v>
      </c>
      <c r="G8" s="1229">
        <v>1</v>
      </c>
      <c r="H8" s="1229">
        <v>1</v>
      </c>
      <c r="I8" s="1229">
        <v>1</v>
      </c>
      <c r="J8" s="1229">
        <v>1</v>
      </c>
      <c r="K8" s="1229">
        <v>1</v>
      </c>
      <c r="L8" s="1229">
        <v>1</v>
      </c>
      <c r="M8" s="1229">
        <v>1</v>
      </c>
      <c r="N8" s="1229">
        <v>1</v>
      </c>
      <c r="O8" s="1229">
        <v>1</v>
      </c>
      <c r="P8" s="1229">
        <v>1</v>
      </c>
      <c r="Q8" s="1229">
        <v>1</v>
      </c>
      <c r="R8" s="1229">
        <v>1</v>
      </c>
      <c r="S8" s="1229">
        <v>1</v>
      </c>
      <c r="T8" s="1229">
        <v>1</v>
      </c>
      <c r="U8" s="1229">
        <v>1</v>
      </c>
      <c r="V8" s="1229">
        <v>1</v>
      </c>
      <c r="W8" s="1229">
        <v>1</v>
      </c>
      <c r="X8" s="1229">
        <v>1</v>
      </c>
      <c r="Y8" s="1229">
        <v>1</v>
      </c>
      <c r="Z8" s="1229">
        <v>1</v>
      </c>
      <c r="AA8" s="997">
        <f t="shared" si="2"/>
        <v>22</v>
      </c>
      <c r="AB8" s="767"/>
      <c r="AC8" s="997">
        <f t="shared" si="3"/>
        <v>0</v>
      </c>
    </row>
    <row r="9" spans="1:29">
      <c r="A9" s="1117" t="s">
        <v>195</v>
      </c>
      <c r="B9" s="1231" t="s">
        <v>229</v>
      </c>
      <c r="C9" s="1117"/>
      <c r="D9" s="1119"/>
      <c r="E9" s="1120"/>
      <c r="F9" s="1120"/>
      <c r="G9" s="1120"/>
      <c r="H9" s="1120"/>
      <c r="I9" s="1120"/>
      <c r="J9" s="1120"/>
      <c r="K9" s="1120"/>
      <c r="L9" s="1120"/>
      <c r="M9" s="1120"/>
      <c r="N9" s="1120"/>
      <c r="O9" s="1120"/>
      <c r="P9" s="1120"/>
      <c r="Q9" s="1120"/>
      <c r="R9" s="1120"/>
      <c r="S9" s="1120"/>
      <c r="T9" s="1120"/>
      <c r="U9" s="1120"/>
      <c r="V9" s="1120"/>
      <c r="W9" s="1120"/>
      <c r="X9" s="1120"/>
      <c r="Y9" s="1120"/>
      <c r="Z9" s="1120"/>
      <c r="AA9" s="1121"/>
      <c r="AB9" s="1121"/>
      <c r="AC9" s="1121">
        <f>SUM(AC10:AC48)</f>
        <v>0</v>
      </c>
    </row>
    <row r="10" spans="1:29">
      <c r="A10" s="1225" t="s">
        <v>1869</v>
      </c>
      <c r="B10" s="1232" t="s">
        <v>345</v>
      </c>
      <c r="C10" s="1233" t="s">
        <v>365</v>
      </c>
      <c r="D10" s="1234" t="s">
        <v>440</v>
      </c>
      <c r="E10" s="1229"/>
      <c r="F10" s="1229"/>
      <c r="G10" s="1229"/>
      <c r="H10" s="1229"/>
      <c r="I10" s="1229"/>
      <c r="J10" s="1229"/>
      <c r="K10" s="1229"/>
      <c r="L10" s="1229"/>
      <c r="M10" s="1229"/>
      <c r="N10" s="1229"/>
      <c r="O10" s="1229"/>
      <c r="P10" s="1229"/>
      <c r="Q10" s="1229"/>
      <c r="R10" s="1229"/>
      <c r="S10" s="1229"/>
      <c r="T10" s="1229"/>
      <c r="U10" s="1229"/>
      <c r="V10" s="1229"/>
      <c r="W10" s="1229"/>
      <c r="X10" s="1229"/>
      <c r="Y10" s="1229"/>
      <c r="Z10" s="1229"/>
      <c r="AA10" s="997"/>
      <c r="AB10" s="997"/>
      <c r="AC10" s="997"/>
    </row>
    <row r="11" spans="1:29">
      <c r="A11" s="1230" t="s">
        <v>1870</v>
      </c>
      <c r="B11" s="946" t="s">
        <v>698</v>
      </c>
      <c r="C11" s="781"/>
      <c r="D11" s="737" t="s">
        <v>11</v>
      </c>
      <c r="E11" s="1229">
        <v>1441.06</v>
      </c>
      <c r="F11" s="1229">
        <v>496.72</v>
      </c>
      <c r="G11" s="1229">
        <v>2382.6999999999998</v>
      </c>
      <c r="H11" s="1229">
        <v>445</v>
      </c>
      <c r="I11" s="1229">
        <v>818.42</v>
      </c>
      <c r="J11" s="1229">
        <v>619.64</v>
      </c>
      <c r="K11" s="1229">
        <v>396.92</v>
      </c>
      <c r="L11" s="1229">
        <v>58.21</v>
      </c>
      <c r="M11" s="1229">
        <v>186.92</v>
      </c>
      <c r="N11" s="1229">
        <v>168.66</v>
      </c>
      <c r="O11" s="1229">
        <v>1126.06</v>
      </c>
      <c r="P11" s="1229">
        <v>660.07</v>
      </c>
      <c r="Q11" s="1229">
        <v>128.32</v>
      </c>
      <c r="R11" s="1229">
        <v>72.63</v>
      </c>
      <c r="S11" s="1229">
        <v>1989.92</v>
      </c>
      <c r="T11" s="1229">
        <v>381.12</v>
      </c>
      <c r="U11" s="1229">
        <v>289.23</v>
      </c>
      <c r="V11" s="1229">
        <v>2108.9899999999998</v>
      </c>
      <c r="W11" s="1229">
        <v>843.89</v>
      </c>
      <c r="X11" s="1229">
        <v>2127.0300000000002</v>
      </c>
      <c r="Y11" s="1229">
        <v>1937.02</v>
      </c>
      <c r="Z11" s="1229">
        <v>343.15</v>
      </c>
      <c r="AA11" s="997">
        <f t="shared" ref="AA11:AA44" si="4">SUM(E11:Z11)</f>
        <v>19021.68</v>
      </c>
      <c r="AB11" s="767"/>
      <c r="AC11" s="997">
        <f t="shared" ref="AC11:AC44" si="5">AA11*AB11</f>
        <v>0</v>
      </c>
    </row>
    <row r="12" spans="1:29">
      <c r="A12" s="1230" t="s">
        <v>1871</v>
      </c>
      <c r="B12" s="946" t="s">
        <v>697</v>
      </c>
      <c r="C12" s="781"/>
      <c r="D12" s="737" t="s">
        <v>18</v>
      </c>
      <c r="E12" s="1229">
        <v>8</v>
      </c>
      <c r="F12" s="1229">
        <v>2</v>
      </c>
      <c r="G12" s="1229">
        <v>7</v>
      </c>
      <c r="H12" s="1229">
        <v>3</v>
      </c>
      <c r="I12" s="1229">
        <v>8</v>
      </c>
      <c r="J12" s="1229">
        <v>3</v>
      </c>
      <c r="K12" s="1229">
        <v>2</v>
      </c>
      <c r="L12" s="1229">
        <v>0</v>
      </c>
      <c r="M12" s="1229">
        <v>2</v>
      </c>
      <c r="N12" s="1229">
        <v>2</v>
      </c>
      <c r="O12" s="1229">
        <v>6</v>
      </c>
      <c r="P12" s="1229">
        <v>4</v>
      </c>
      <c r="Q12" s="1229">
        <v>0</v>
      </c>
      <c r="R12" s="1229">
        <v>1</v>
      </c>
      <c r="S12" s="1229">
        <v>6</v>
      </c>
      <c r="T12" s="1229">
        <v>2</v>
      </c>
      <c r="U12" s="1229">
        <v>1</v>
      </c>
      <c r="V12" s="1229">
        <v>9</v>
      </c>
      <c r="W12" s="1229">
        <v>5</v>
      </c>
      <c r="X12" s="1229">
        <v>3</v>
      </c>
      <c r="Y12" s="1229">
        <v>5</v>
      </c>
      <c r="Z12" s="1229">
        <v>1</v>
      </c>
      <c r="AA12" s="997">
        <f t="shared" si="4"/>
        <v>80</v>
      </c>
      <c r="AB12" s="767"/>
      <c r="AC12" s="997">
        <f t="shared" si="5"/>
        <v>0</v>
      </c>
    </row>
    <row r="13" spans="1:29">
      <c r="A13" s="1225" t="s">
        <v>1872</v>
      </c>
      <c r="B13" s="1232" t="s">
        <v>346</v>
      </c>
      <c r="C13" s="1233" t="s">
        <v>408</v>
      </c>
      <c r="D13" s="1234" t="s">
        <v>439</v>
      </c>
      <c r="E13" s="1235"/>
      <c r="F13" s="1235"/>
      <c r="G13" s="1235"/>
      <c r="H13" s="1235"/>
      <c r="I13" s="1235"/>
      <c r="J13" s="1235"/>
      <c r="K13" s="1235"/>
      <c r="L13" s="1235"/>
      <c r="M13" s="1235"/>
      <c r="N13" s="1235"/>
      <c r="O13" s="1235"/>
      <c r="P13" s="1235"/>
      <c r="Q13" s="1235"/>
      <c r="R13" s="1235"/>
      <c r="S13" s="1235"/>
      <c r="T13" s="1235"/>
      <c r="U13" s="1235"/>
      <c r="V13" s="1235"/>
      <c r="W13" s="1235"/>
      <c r="X13" s="1235"/>
      <c r="Y13" s="1235"/>
      <c r="Z13" s="1235"/>
      <c r="AA13" s="997"/>
      <c r="AB13" s="997"/>
      <c r="AC13" s="997"/>
    </row>
    <row r="14" spans="1:29">
      <c r="A14" s="1230" t="s">
        <v>1873</v>
      </c>
      <c r="B14" s="946" t="s">
        <v>456</v>
      </c>
      <c r="C14" s="781"/>
      <c r="D14" s="737" t="s">
        <v>18</v>
      </c>
      <c r="E14" s="1235">
        <v>2</v>
      </c>
      <c r="F14" s="1235">
        <v>1</v>
      </c>
      <c r="G14" s="1235">
        <v>2</v>
      </c>
      <c r="H14" s="1235">
        <v>2</v>
      </c>
      <c r="I14" s="1235">
        <v>5</v>
      </c>
      <c r="J14" s="1235">
        <v>3</v>
      </c>
      <c r="K14" s="1235">
        <v>2</v>
      </c>
      <c r="L14" s="1235">
        <v>1</v>
      </c>
      <c r="M14" s="1235">
        <v>1</v>
      </c>
      <c r="N14" s="1235">
        <v>1</v>
      </c>
      <c r="O14" s="1235">
        <v>5</v>
      </c>
      <c r="P14" s="1235">
        <v>1</v>
      </c>
      <c r="Q14" s="1235">
        <v>0</v>
      </c>
      <c r="R14" s="1235">
        <v>1</v>
      </c>
      <c r="S14" s="1235">
        <v>2</v>
      </c>
      <c r="T14" s="1235">
        <v>1</v>
      </c>
      <c r="U14" s="1235">
        <v>1</v>
      </c>
      <c r="V14" s="1235">
        <v>2</v>
      </c>
      <c r="W14" s="1235">
        <v>3</v>
      </c>
      <c r="X14" s="1235">
        <v>2</v>
      </c>
      <c r="Y14" s="1235">
        <v>2</v>
      </c>
      <c r="Z14" s="1235">
        <v>1</v>
      </c>
      <c r="AA14" s="997">
        <f t="shared" si="4"/>
        <v>41</v>
      </c>
      <c r="AB14" s="767"/>
      <c r="AC14" s="997">
        <f t="shared" si="5"/>
        <v>0</v>
      </c>
    </row>
    <row r="15" spans="1:29">
      <c r="A15" s="1230" t="s">
        <v>1874</v>
      </c>
      <c r="B15" s="946" t="s">
        <v>599</v>
      </c>
      <c r="C15" s="781"/>
      <c r="D15" s="737" t="s">
        <v>18</v>
      </c>
      <c r="E15" s="1235">
        <v>5</v>
      </c>
      <c r="F15" s="1235">
        <v>1</v>
      </c>
      <c r="G15" s="1235">
        <v>2</v>
      </c>
      <c r="H15" s="1235">
        <v>2</v>
      </c>
      <c r="I15" s="1235">
        <v>5</v>
      </c>
      <c r="J15" s="1235">
        <v>3</v>
      </c>
      <c r="K15" s="1235">
        <v>1</v>
      </c>
      <c r="L15" s="1235">
        <v>1</v>
      </c>
      <c r="M15" s="1235">
        <v>1</v>
      </c>
      <c r="N15" s="1235">
        <v>1</v>
      </c>
      <c r="O15" s="1235">
        <v>5</v>
      </c>
      <c r="P15" s="1235">
        <v>1</v>
      </c>
      <c r="Q15" s="1235">
        <v>0</v>
      </c>
      <c r="R15" s="1235">
        <v>1</v>
      </c>
      <c r="S15" s="1235">
        <v>1</v>
      </c>
      <c r="T15" s="1235">
        <v>1</v>
      </c>
      <c r="U15" s="1235">
        <v>1</v>
      </c>
      <c r="V15" s="1235">
        <v>6</v>
      </c>
      <c r="W15" s="1235">
        <v>5</v>
      </c>
      <c r="X15" s="1235">
        <v>2</v>
      </c>
      <c r="Y15" s="1235">
        <v>2</v>
      </c>
      <c r="Z15" s="1235">
        <v>1</v>
      </c>
      <c r="AA15" s="997">
        <f t="shared" si="4"/>
        <v>48</v>
      </c>
      <c r="AB15" s="767"/>
      <c r="AC15" s="997">
        <f t="shared" si="5"/>
        <v>0</v>
      </c>
    </row>
    <row r="16" spans="1:29">
      <c r="A16" s="1230" t="s">
        <v>1875</v>
      </c>
      <c r="B16" s="946" t="s">
        <v>454</v>
      </c>
      <c r="C16" s="781"/>
      <c r="D16" s="737" t="s">
        <v>18</v>
      </c>
      <c r="E16" s="1235">
        <v>2</v>
      </c>
      <c r="F16" s="1235">
        <v>1</v>
      </c>
      <c r="G16" s="1235">
        <v>2</v>
      </c>
      <c r="H16" s="1235">
        <v>2</v>
      </c>
      <c r="I16" s="1235">
        <v>3</v>
      </c>
      <c r="J16" s="1235">
        <v>3</v>
      </c>
      <c r="K16" s="1235">
        <v>2</v>
      </c>
      <c r="L16" s="1235">
        <v>1</v>
      </c>
      <c r="M16" s="1235">
        <v>1</v>
      </c>
      <c r="N16" s="1235">
        <v>1</v>
      </c>
      <c r="O16" s="1235">
        <v>3</v>
      </c>
      <c r="P16" s="1235">
        <v>2</v>
      </c>
      <c r="Q16" s="1235">
        <v>1</v>
      </c>
      <c r="R16" s="1235">
        <v>1</v>
      </c>
      <c r="S16" s="1235">
        <v>2</v>
      </c>
      <c r="T16" s="1235">
        <v>1</v>
      </c>
      <c r="U16" s="1235">
        <v>1</v>
      </c>
      <c r="V16" s="1235">
        <v>1</v>
      </c>
      <c r="W16" s="1235">
        <v>3</v>
      </c>
      <c r="X16" s="1235">
        <v>3</v>
      </c>
      <c r="Y16" s="1235">
        <v>2</v>
      </c>
      <c r="Z16" s="1235">
        <v>1</v>
      </c>
      <c r="AA16" s="997">
        <f t="shared" si="4"/>
        <v>39</v>
      </c>
      <c r="AB16" s="767"/>
      <c r="AC16" s="997">
        <f t="shared" si="5"/>
        <v>0</v>
      </c>
    </row>
    <row r="17" spans="1:29">
      <c r="A17" s="1230" t="s">
        <v>1876</v>
      </c>
      <c r="B17" s="946" t="s">
        <v>695</v>
      </c>
      <c r="C17" s="781"/>
      <c r="D17" s="737" t="s">
        <v>18</v>
      </c>
      <c r="E17" s="1235">
        <v>2</v>
      </c>
      <c r="F17" s="1235">
        <v>1</v>
      </c>
      <c r="G17" s="1235">
        <v>3</v>
      </c>
      <c r="H17" s="1235">
        <v>1</v>
      </c>
      <c r="I17" s="1235">
        <v>3</v>
      </c>
      <c r="J17" s="1235">
        <v>3</v>
      </c>
      <c r="K17" s="1235">
        <v>2</v>
      </c>
      <c r="L17" s="1235">
        <v>0</v>
      </c>
      <c r="M17" s="1235">
        <v>1</v>
      </c>
      <c r="N17" s="1235">
        <v>1</v>
      </c>
      <c r="O17" s="1235">
        <v>2</v>
      </c>
      <c r="P17" s="1235">
        <v>1</v>
      </c>
      <c r="Q17" s="1235">
        <v>0</v>
      </c>
      <c r="R17" s="1235">
        <v>0</v>
      </c>
      <c r="S17" s="1235">
        <v>1</v>
      </c>
      <c r="T17" s="1235">
        <v>1</v>
      </c>
      <c r="U17" s="1235">
        <v>1</v>
      </c>
      <c r="V17" s="1235">
        <v>0</v>
      </c>
      <c r="W17" s="1235">
        <v>1</v>
      </c>
      <c r="X17" s="1235">
        <v>0</v>
      </c>
      <c r="Y17" s="1235">
        <v>2</v>
      </c>
      <c r="Z17" s="1235">
        <v>1</v>
      </c>
      <c r="AA17" s="997">
        <f t="shared" si="4"/>
        <v>27</v>
      </c>
      <c r="AB17" s="767"/>
      <c r="AC17" s="997">
        <f t="shared" si="5"/>
        <v>0</v>
      </c>
    </row>
    <row r="18" spans="1:29">
      <c r="A18" s="1230" t="s">
        <v>1877</v>
      </c>
      <c r="B18" s="946" t="s">
        <v>438</v>
      </c>
      <c r="C18" s="781"/>
      <c r="D18" s="737" t="s">
        <v>18</v>
      </c>
      <c r="E18" s="1235">
        <v>0</v>
      </c>
      <c r="F18" s="1235">
        <v>0</v>
      </c>
      <c r="G18" s="1235">
        <v>2</v>
      </c>
      <c r="H18" s="1235">
        <v>1</v>
      </c>
      <c r="I18" s="1235">
        <v>3</v>
      </c>
      <c r="J18" s="1235">
        <v>1</v>
      </c>
      <c r="K18" s="1235">
        <v>1</v>
      </c>
      <c r="L18" s="1235">
        <v>0</v>
      </c>
      <c r="M18" s="1235">
        <v>0</v>
      </c>
      <c r="N18" s="1235">
        <v>1</v>
      </c>
      <c r="O18" s="1235">
        <v>2</v>
      </c>
      <c r="P18" s="1235">
        <v>1</v>
      </c>
      <c r="Q18" s="1235">
        <v>0</v>
      </c>
      <c r="R18" s="1235">
        <v>0</v>
      </c>
      <c r="S18" s="1235">
        <v>0</v>
      </c>
      <c r="T18" s="1235">
        <v>1</v>
      </c>
      <c r="U18" s="1235">
        <v>1</v>
      </c>
      <c r="V18" s="1235">
        <v>0</v>
      </c>
      <c r="W18" s="1235">
        <v>1</v>
      </c>
      <c r="X18" s="1235">
        <v>1</v>
      </c>
      <c r="Y18" s="1235">
        <v>1</v>
      </c>
      <c r="Z18" s="1235">
        <v>0</v>
      </c>
      <c r="AA18" s="997">
        <f t="shared" si="4"/>
        <v>17</v>
      </c>
      <c r="AB18" s="767"/>
      <c r="AC18" s="997">
        <f t="shared" si="5"/>
        <v>0</v>
      </c>
    </row>
    <row r="19" spans="1:29">
      <c r="A19" s="1230" t="s">
        <v>1878</v>
      </c>
      <c r="B19" s="946" t="s">
        <v>1048</v>
      </c>
      <c r="C19" s="781"/>
      <c r="D19" s="737" t="s">
        <v>18</v>
      </c>
      <c r="E19" s="1235">
        <v>6</v>
      </c>
      <c r="F19" s="1235">
        <v>1</v>
      </c>
      <c r="G19" s="1235">
        <v>3</v>
      </c>
      <c r="H19" s="1235">
        <v>1</v>
      </c>
      <c r="I19" s="1235">
        <v>5</v>
      </c>
      <c r="J19" s="1235">
        <v>2</v>
      </c>
      <c r="K19" s="1235">
        <v>3</v>
      </c>
      <c r="L19" s="1235">
        <v>1</v>
      </c>
      <c r="M19" s="1235">
        <v>1</v>
      </c>
      <c r="N19" s="1235">
        <v>2</v>
      </c>
      <c r="O19" s="1235">
        <v>5</v>
      </c>
      <c r="P19" s="1235">
        <v>2</v>
      </c>
      <c r="Q19" s="1235">
        <v>1</v>
      </c>
      <c r="R19" s="1235">
        <v>2</v>
      </c>
      <c r="S19" s="1235">
        <v>2</v>
      </c>
      <c r="T19" s="1235">
        <v>1</v>
      </c>
      <c r="U19" s="1235">
        <v>1</v>
      </c>
      <c r="V19" s="1235">
        <v>0</v>
      </c>
      <c r="W19" s="1235">
        <v>3</v>
      </c>
      <c r="X19" s="1235">
        <v>5</v>
      </c>
      <c r="Y19" s="1235">
        <v>3</v>
      </c>
      <c r="Z19" s="1235">
        <v>2</v>
      </c>
      <c r="AA19" s="997">
        <f t="shared" si="4"/>
        <v>52</v>
      </c>
      <c r="AB19" s="767"/>
      <c r="AC19" s="997">
        <f t="shared" si="5"/>
        <v>0</v>
      </c>
    </row>
    <row r="20" spans="1:29">
      <c r="A20" s="1230" t="s">
        <v>1879</v>
      </c>
      <c r="B20" s="946" t="s">
        <v>536</v>
      </c>
      <c r="C20" s="781"/>
      <c r="D20" s="737" t="s">
        <v>18</v>
      </c>
      <c r="E20" s="1235">
        <v>6</v>
      </c>
      <c r="F20" s="1235">
        <v>1</v>
      </c>
      <c r="G20" s="1235">
        <v>3</v>
      </c>
      <c r="H20" s="1235">
        <v>1</v>
      </c>
      <c r="I20" s="1235">
        <v>5</v>
      </c>
      <c r="J20" s="1235">
        <v>2</v>
      </c>
      <c r="K20" s="1235">
        <v>3</v>
      </c>
      <c r="L20" s="1235">
        <v>1</v>
      </c>
      <c r="M20" s="1235">
        <v>1</v>
      </c>
      <c r="N20" s="1235">
        <v>2</v>
      </c>
      <c r="O20" s="1235">
        <v>5</v>
      </c>
      <c r="P20" s="1235">
        <v>2</v>
      </c>
      <c r="Q20" s="1235">
        <v>1</v>
      </c>
      <c r="R20" s="1235">
        <v>0</v>
      </c>
      <c r="S20" s="1235">
        <v>2</v>
      </c>
      <c r="T20" s="1235">
        <v>1</v>
      </c>
      <c r="U20" s="1235">
        <v>1</v>
      </c>
      <c r="V20" s="1235">
        <v>2</v>
      </c>
      <c r="W20" s="1235">
        <v>3</v>
      </c>
      <c r="X20" s="1235">
        <v>0</v>
      </c>
      <c r="Y20" s="1235">
        <v>3</v>
      </c>
      <c r="Z20" s="1235">
        <v>2</v>
      </c>
      <c r="AA20" s="997">
        <f t="shared" si="4"/>
        <v>47</v>
      </c>
      <c r="AB20" s="767"/>
      <c r="AC20" s="997">
        <f t="shared" si="5"/>
        <v>0</v>
      </c>
    </row>
    <row r="21" spans="1:29">
      <c r="A21" s="1230" t="s">
        <v>1880</v>
      </c>
      <c r="B21" s="946" t="s">
        <v>455</v>
      </c>
      <c r="C21" s="781"/>
      <c r="D21" s="737" t="s">
        <v>18</v>
      </c>
      <c r="E21" s="1235">
        <v>6</v>
      </c>
      <c r="F21" s="1235">
        <v>1</v>
      </c>
      <c r="G21" s="1235">
        <v>3</v>
      </c>
      <c r="H21" s="1235">
        <v>1</v>
      </c>
      <c r="I21" s="1235">
        <v>5</v>
      </c>
      <c r="J21" s="1235">
        <v>2</v>
      </c>
      <c r="K21" s="1235">
        <v>3</v>
      </c>
      <c r="L21" s="1235">
        <v>1</v>
      </c>
      <c r="M21" s="1235">
        <v>1</v>
      </c>
      <c r="N21" s="1235">
        <v>2</v>
      </c>
      <c r="O21" s="1235">
        <v>5</v>
      </c>
      <c r="P21" s="1235">
        <v>2</v>
      </c>
      <c r="Q21" s="1235">
        <v>1</v>
      </c>
      <c r="R21" s="1235">
        <v>2</v>
      </c>
      <c r="S21" s="1235">
        <v>2</v>
      </c>
      <c r="T21" s="1235">
        <v>2</v>
      </c>
      <c r="U21" s="1235">
        <v>2</v>
      </c>
      <c r="V21" s="1235">
        <v>2</v>
      </c>
      <c r="W21" s="1235">
        <v>3</v>
      </c>
      <c r="X21" s="1235">
        <v>2</v>
      </c>
      <c r="Y21" s="1235">
        <v>3</v>
      </c>
      <c r="Z21" s="1235">
        <v>3</v>
      </c>
      <c r="AA21" s="997">
        <f t="shared" si="4"/>
        <v>54</v>
      </c>
      <c r="AB21" s="767"/>
      <c r="AC21" s="997">
        <f t="shared" si="5"/>
        <v>0</v>
      </c>
    </row>
    <row r="22" spans="1:29">
      <c r="A22" s="1230" t="s">
        <v>1881</v>
      </c>
      <c r="B22" s="946" t="s">
        <v>1069</v>
      </c>
      <c r="C22" s="781"/>
      <c r="D22" s="737" t="s">
        <v>18</v>
      </c>
      <c r="E22" s="1235">
        <v>0</v>
      </c>
      <c r="F22" s="1235">
        <v>1</v>
      </c>
      <c r="G22" s="1235">
        <v>3</v>
      </c>
      <c r="H22" s="1235">
        <v>1</v>
      </c>
      <c r="I22" s="1235">
        <v>5</v>
      </c>
      <c r="J22" s="1235">
        <v>2</v>
      </c>
      <c r="K22" s="1235">
        <v>3</v>
      </c>
      <c r="L22" s="1235">
        <v>0</v>
      </c>
      <c r="M22" s="1235">
        <v>1</v>
      </c>
      <c r="N22" s="1235">
        <v>2</v>
      </c>
      <c r="O22" s="1235">
        <v>5</v>
      </c>
      <c r="P22" s="1235">
        <v>2</v>
      </c>
      <c r="Q22" s="1235">
        <v>1</v>
      </c>
      <c r="R22" s="1235">
        <v>0</v>
      </c>
      <c r="S22" s="1235">
        <v>2</v>
      </c>
      <c r="T22" s="1235">
        <v>0</v>
      </c>
      <c r="U22" s="1235">
        <v>2</v>
      </c>
      <c r="V22" s="1235">
        <v>0</v>
      </c>
      <c r="W22" s="1235">
        <v>0</v>
      </c>
      <c r="X22" s="1235">
        <v>0</v>
      </c>
      <c r="Y22" s="1235">
        <v>5</v>
      </c>
      <c r="Z22" s="1235">
        <v>0</v>
      </c>
      <c r="AA22" s="997">
        <f t="shared" si="4"/>
        <v>35</v>
      </c>
      <c r="AB22" s="767"/>
      <c r="AC22" s="997">
        <f t="shared" si="5"/>
        <v>0</v>
      </c>
    </row>
    <row r="23" spans="1:29">
      <c r="A23" s="1230" t="s">
        <v>1882</v>
      </c>
      <c r="B23" s="946" t="s">
        <v>1049</v>
      </c>
      <c r="C23" s="781"/>
      <c r="D23" s="737" t="s">
        <v>18</v>
      </c>
      <c r="E23" s="1235">
        <v>0</v>
      </c>
      <c r="F23" s="1235"/>
      <c r="G23" s="1235"/>
      <c r="H23" s="1235">
        <v>2</v>
      </c>
      <c r="I23" s="1235">
        <v>10</v>
      </c>
      <c r="J23" s="1235">
        <v>5</v>
      </c>
      <c r="K23" s="1235">
        <v>5</v>
      </c>
      <c r="L23" s="1235">
        <v>1</v>
      </c>
      <c r="M23" s="1235">
        <v>2</v>
      </c>
      <c r="N23" s="1235">
        <v>2</v>
      </c>
      <c r="O23" s="1235">
        <v>5</v>
      </c>
      <c r="P23" s="1235">
        <v>2</v>
      </c>
      <c r="Q23" s="1235">
        <v>1</v>
      </c>
      <c r="R23" s="1235">
        <v>1</v>
      </c>
      <c r="S23" s="1235">
        <v>2</v>
      </c>
      <c r="T23" s="1235">
        <v>0</v>
      </c>
      <c r="U23" s="1235">
        <v>2</v>
      </c>
      <c r="V23" s="1235">
        <v>0</v>
      </c>
      <c r="W23" s="1235">
        <v>0</v>
      </c>
      <c r="X23" s="1235">
        <v>0</v>
      </c>
      <c r="Y23" s="1235">
        <v>0</v>
      </c>
      <c r="Z23" s="1235">
        <v>4</v>
      </c>
      <c r="AA23" s="997">
        <f t="shared" si="4"/>
        <v>44</v>
      </c>
      <c r="AB23" s="767"/>
      <c r="AC23" s="997">
        <f t="shared" si="5"/>
        <v>0</v>
      </c>
    </row>
    <row r="24" spans="1:29">
      <c r="A24" s="1225" t="s">
        <v>1883</v>
      </c>
      <c r="B24" s="1236" t="s">
        <v>385</v>
      </c>
      <c r="C24" s="1233" t="s">
        <v>406</v>
      </c>
      <c r="D24" s="1234"/>
      <c r="E24" s="1235"/>
      <c r="F24" s="1235"/>
      <c r="G24" s="1235"/>
      <c r="H24" s="1235"/>
      <c r="I24" s="1235"/>
      <c r="J24" s="1235"/>
      <c r="K24" s="1235"/>
      <c r="L24" s="1235"/>
      <c r="M24" s="1235"/>
      <c r="N24" s="1235"/>
      <c r="O24" s="1235"/>
      <c r="P24" s="1235"/>
      <c r="Q24" s="1235"/>
      <c r="R24" s="1235"/>
      <c r="S24" s="1235"/>
      <c r="T24" s="1235"/>
      <c r="U24" s="1235"/>
      <c r="V24" s="1235"/>
      <c r="W24" s="1235"/>
      <c r="X24" s="1235"/>
      <c r="Y24" s="1235"/>
      <c r="Z24" s="1235"/>
      <c r="AA24" s="997"/>
      <c r="AB24" s="997"/>
      <c r="AC24" s="997"/>
    </row>
    <row r="25" spans="1:29">
      <c r="A25" s="1230" t="s">
        <v>1884</v>
      </c>
      <c r="B25" s="1237" t="s">
        <v>1050</v>
      </c>
      <c r="C25" s="781" t="s">
        <v>1051</v>
      </c>
      <c r="D25" s="737" t="s">
        <v>18</v>
      </c>
      <c r="E25" s="1235">
        <v>9</v>
      </c>
      <c r="F25" s="1235">
        <v>2</v>
      </c>
      <c r="G25" s="1235">
        <v>3</v>
      </c>
      <c r="H25" s="1235">
        <v>2</v>
      </c>
      <c r="I25" s="1235">
        <v>6</v>
      </c>
      <c r="J25" s="1235">
        <v>1</v>
      </c>
      <c r="K25" s="1235"/>
      <c r="L25" s="1235"/>
      <c r="M25" s="1235">
        <v>1</v>
      </c>
      <c r="N25" s="1235">
        <v>2</v>
      </c>
      <c r="O25" s="1235">
        <v>8</v>
      </c>
      <c r="P25" s="1235">
        <v>3</v>
      </c>
      <c r="Q25" s="1235"/>
      <c r="R25" s="1235"/>
      <c r="S25" s="1235">
        <v>3</v>
      </c>
      <c r="T25" s="1235">
        <v>1</v>
      </c>
      <c r="U25" s="1235"/>
      <c r="V25" s="1235">
        <v>5</v>
      </c>
      <c r="W25" s="1235">
        <v>4</v>
      </c>
      <c r="X25" s="1235">
        <v>1</v>
      </c>
      <c r="Y25" s="1235">
        <v>4</v>
      </c>
      <c r="Z25" s="1235">
        <v>1</v>
      </c>
      <c r="AA25" s="997">
        <f t="shared" si="4"/>
        <v>56</v>
      </c>
      <c r="AB25" s="767"/>
      <c r="AC25" s="997">
        <f t="shared" si="5"/>
        <v>0</v>
      </c>
    </row>
    <row r="26" spans="1:29">
      <c r="A26" s="1230" t="s">
        <v>1885</v>
      </c>
      <c r="B26" s="1237" t="s">
        <v>702</v>
      </c>
      <c r="C26" s="737"/>
      <c r="D26" s="737"/>
      <c r="E26" s="1235"/>
      <c r="F26" s="1235"/>
      <c r="G26" s="1235"/>
      <c r="H26" s="1235"/>
      <c r="I26" s="1235"/>
      <c r="J26" s="1235"/>
      <c r="K26" s="1235"/>
      <c r="L26" s="1235"/>
      <c r="M26" s="1235"/>
      <c r="N26" s="1235"/>
      <c r="O26" s="1235"/>
      <c r="P26" s="1235"/>
      <c r="Q26" s="1235"/>
      <c r="R26" s="1235"/>
      <c r="S26" s="1235"/>
      <c r="T26" s="1235"/>
      <c r="U26" s="1235"/>
      <c r="V26" s="1235"/>
      <c r="W26" s="1235"/>
      <c r="X26" s="1235"/>
      <c r="Y26" s="1235"/>
      <c r="Z26" s="1235"/>
      <c r="AA26" s="997"/>
      <c r="AB26" s="997"/>
      <c r="AC26" s="997"/>
    </row>
    <row r="27" spans="1:29">
      <c r="A27" s="1230" t="s">
        <v>1886</v>
      </c>
      <c r="B27" s="947" t="s">
        <v>2741</v>
      </c>
      <c r="C27" s="737" t="s">
        <v>437</v>
      </c>
      <c r="D27" s="737" t="s">
        <v>18</v>
      </c>
      <c r="E27" s="1235"/>
      <c r="F27" s="1235">
        <v>0</v>
      </c>
      <c r="G27" s="1235">
        <v>3</v>
      </c>
      <c r="H27" s="1235"/>
      <c r="I27" s="1235"/>
      <c r="J27" s="1235"/>
      <c r="K27" s="1235"/>
      <c r="L27" s="1235"/>
      <c r="M27" s="1235"/>
      <c r="N27" s="1235"/>
      <c r="O27" s="1235"/>
      <c r="P27" s="1235"/>
      <c r="Q27" s="1235"/>
      <c r="R27" s="1235"/>
      <c r="S27" s="1235">
        <v>6</v>
      </c>
      <c r="T27" s="1235"/>
      <c r="U27" s="1235">
        <v>1</v>
      </c>
      <c r="V27" s="1235">
        <v>1</v>
      </c>
      <c r="W27" s="1235"/>
      <c r="X27" s="1235">
        <v>4</v>
      </c>
      <c r="Y27" s="1235">
        <v>7</v>
      </c>
      <c r="Z27" s="1235"/>
      <c r="AA27" s="997">
        <f t="shared" si="4"/>
        <v>22</v>
      </c>
      <c r="AB27" s="767"/>
      <c r="AC27" s="997">
        <f t="shared" si="5"/>
        <v>0</v>
      </c>
    </row>
    <row r="28" spans="1:29">
      <c r="A28" s="1230" t="s">
        <v>1887</v>
      </c>
      <c r="B28" s="947" t="s">
        <v>2742</v>
      </c>
      <c r="C28" s="737" t="s">
        <v>437</v>
      </c>
      <c r="D28" s="737" t="s">
        <v>18</v>
      </c>
      <c r="E28" s="1235"/>
      <c r="F28" s="1235">
        <v>18</v>
      </c>
      <c r="G28" s="1235">
        <v>2</v>
      </c>
      <c r="H28" s="1235"/>
      <c r="I28" s="1235"/>
      <c r="J28" s="1235"/>
      <c r="K28" s="1235"/>
      <c r="L28" s="1235"/>
      <c r="M28" s="1235"/>
      <c r="N28" s="1235"/>
      <c r="O28" s="1235"/>
      <c r="P28" s="1235"/>
      <c r="Q28" s="1235"/>
      <c r="R28" s="1235"/>
      <c r="S28" s="1235">
        <v>24</v>
      </c>
      <c r="T28" s="1235"/>
      <c r="U28" s="1235">
        <v>1</v>
      </c>
      <c r="V28" s="1235">
        <v>19</v>
      </c>
      <c r="W28" s="1235"/>
      <c r="X28" s="1235">
        <v>4</v>
      </c>
      <c r="Y28" s="1235">
        <v>25</v>
      </c>
      <c r="Z28" s="1235"/>
      <c r="AA28" s="997">
        <f t="shared" si="4"/>
        <v>93</v>
      </c>
      <c r="AB28" s="767"/>
      <c r="AC28" s="997">
        <f t="shared" si="5"/>
        <v>0</v>
      </c>
    </row>
    <row r="29" spans="1:29">
      <c r="A29" s="1230" t="s">
        <v>1888</v>
      </c>
      <c r="B29" s="947" t="s">
        <v>2743</v>
      </c>
      <c r="C29" s="737" t="s">
        <v>437</v>
      </c>
      <c r="D29" s="737" t="s">
        <v>18</v>
      </c>
      <c r="E29" s="1235"/>
      <c r="F29" s="1235">
        <v>2</v>
      </c>
      <c r="G29" s="1235">
        <v>6</v>
      </c>
      <c r="H29" s="1235"/>
      <c r="I29" s="1235"/>
      <c r="J29" s="1235"/>
      <c r="K29" s="1235"/>
      <c r="L29" s="1235"/>
      <c r="M29" s="1235"/>
      <c r="N29" s="1235"/>
      <c r="O29" s="1235"/>
      <c r="P29" s="1235"/>
      <c r="Q29" s="1235"/>
      <c r="R29" s="1235"/>
      <c r="S29" s="1235">
        <v>10</v>
      </c>
      <c r="T29" s="1235"/>
      <c r="U29" s="1235">
        <v>1</v>
      </c>
      <c r="V29" s="1235">
        <v>18</v>
      </c>
      <c r="W29" s="1235"/>
      <c r="X29" s="1235">
        <v>5</v>
      </c>
      <c r="Y29" s="1235">
        <v>15</v>
      </c>
      <c r="Z29" s="1235"/>
      <c r="AA29" s="997">
        <f t="shared" si="4"/>
        <v>57</v>
      </c>
      <c r="AB29" s="767"/>
      <c r="AC29" s="997">
        <f t="shared" si="5"/>
        <v>0</v>
      </c>
    </row>
    <row r="30" spans="1:29">
      <c r="A30" s="1230" t="s">
        <v>1889</v>
      </c>
      <c r="B30" s="1237" t="s">
        <v>858</v>
      </c>
      <c r="C30" s="737"/>
      <c r="D30" s="737"/>
      <c r="E30" s="1235"/>
      <c r="F30" s="1235"/>
      <c r="G30" s="1235"/>
      <c r="H30" s="1235"/>
      <c r="I30" s="1235"/>
      <c r="J30" s="1235"/>
      <c r="K30" s="1235"/>
      <c r="L30" s="1235"/>
      <c r="M30" s="1235"/>
      <c r="N30" s="1235"/>
      <c r="O30" s="1235"/>
      <c r="P30" s="1235"/>
      <c r="Q30" s="1235"/>
      <c r="R30" s="1235"/>
      <c r="S30" s="1235"/>
      <c r="T30" s="1235"/>
      <c r="U30" s="1235"/>
      <c r="V30" s="1235"/>
      <c r="W30" s="1235"/>
      <c r="X30" s="1235"/>
      <c r="Y30" s="1235"/>
      <c r="Z30" s="1235"/>
      <c r="AA30" s="997"/>
      <c r="AB30" s="997"/>
      <c r="AC30" s="997"/>
    </row>
    <row r="31" spans="1:29">
      <c r="A31" s="1230" t="s">
        <v>1890</v>
      </c>
      <c r="B31" s="947" t="s">
        <v>2745</v>
      </c>
      <c r="C31" s="737" t="s">
        <v>437</v>
      </c>
      <c r="D31" s="737" t="s">
        <v>18</v>
      </c>
      <c r="E31" s="1235">
        <v>2</v>
      </c>
      <c r="F31" s="1235">
        <v>0</v>
      </c>
      <c r="G31" s="1235"/>
      <c r="H31" s="1235">
        <v>2</v>
      </c>
      <c r="I31" s="1235">
        <v>0</v>
      </c>
      <c r="J31" s="1235">
        <v>1</v>
      </c>
      <c r="K31" s="1235">
        <v>4</v>
      </c>
      <c r="L31" s="1235">
        <v>1</v>
      </c>
      <c r="M31" s="1235">
        <v>2</v>
      </c>
      <c r="N31" s="1235">
        <v>1</v>
      </c>
      <c r="O31" s="1235">
        <v>3</v>
      </c>
      <c r="P31" s="1235">
        <v>0</v>
      </c>
      <c r="Q31" s="1235">
        <v>0</v>
      </c>
      <c r="R31" s="1235"/>
      <c r="S31" s="1235">
        <v>5</v>
      </c>
      <c r="T31" s="1235">
        <v>2</v>
      </c>
      <c r="U31" s="1235">
        <v>4</v>
      </c>
      <c r="V31" s="1235">
        <v>32</v>
      </c>
      <c r="W31" s="1235">
        <v>22</v>
      </c>
      <c r="X31" s="1235">
        <v>5</v>
      </c>
      <c r="Y31" s="1235"/>
      <c r="Z31" s="1235">
        <v>1</v>
      </c>
      <c r="AA31" s="997">
        <f t="shared" si="4"/>
        <v>87</v>
      </c>
      <c r="AB31" s="767"/>
      <c r="AC31" s="997">
        <f t="shared" si="5"/>
        <v>0</v>
      </c>
    </row>
    <row r="32" spans="1:29">
      <c r="A32" s="1230" t="s">
        <v>1891</v>
      </c>
      <c r="B32" s="947" t="s">
        <v>2746</v>
      </c>
      <c r="C32" s="737" t="s">
        <v>437</v>
      </c>
      <c r="D32" s="737" t="s">
        <v>18</v>
      </c>
      <c r="E32" s="1235">
        <v>3</v>
      </c>
      <c r="F32" s="1235">
        <v>0</v>
      </c>
      <c r="G32" s="1235"/>
      <c r="H32" s="1235">
        <v>2</v>
      </c>
      <c r="I32" s="1235">
        <v>3</v>
      </c>
      <c r="J32" s="1235">
        <v>5</v>
      </c>
      <c r="K32" s="1235">
        <v>14</v>
      </c>
      <c r="L32" s="1235">
        <v>1</v>
      </c>
      <c r="M32" s="1235">
        <v>5</v>
      </c>
      <c r="N32" s="1235">
        <v>2</v>
      </c>
      <c r="O32" s="1235">
        <v>13</v>
      </c>
      <c r="P32" s="1235">
        <v>15</v>
      </c>
      <c r="Q32" s="1235">
        <v>2</v>
      </c>
      <c r="R32" s="1235"/>
      <c r="S32" s="1235">
        <v>5</v>
      </c>
      <c r="T32" s="1235">
        <v>4</v>
      </c>
      <c r="U32" s="1235">
        <v>2</v>
      </c>
      <c r="V32" s="1235">
        <v>7</v>
      </c>
      <c r="W32" s="1235">
        <v>4</v>
      </c>
      <c r="X32" s="1235">
        <v>9</v>
      </c>
      <c r="Y32" s="1235"/>
      <c r="Z32" s="1235">
        <v>1</v>
      </c>
      <c r="AA32" s="997">
        <f t="shared" si="4"/>
        <v>97</v>
      </c>
      <c r="AB32" s="767"/>
      <c r="AC32" s="997">
        <f t="shared" si="5"/>
        <v>0</v>
      </c>
    </row>
    <row r="33" spans="1:29">
      <c r="A33" s="1230" t="s">
        <v>1892</v>
      </c>
      <c r="B33" s="947" t="s">
        <v>2747</v>
      </c>
      <c r="C33" s="737" t="s">
        <v>437</v>
      </c>
      <c r="D33" s="737" t="s">
        <v>18</v>
      </c>
      <c r="E33" s="1235">
        <v>2</v>
      </c>
      <c r="F33" s="1235">
        <v>0</v>
      </c>
      <c r="G33" s="1235"/>
      <c r="H33" s="1235">
        <v>1</v>
      </c>
      <c r="I33" s="1235">
        <v>12</v>
      </c>
      <c r="J33" s="1235">
        <v>1</v>
      </c>
      <c r="K33" s="1235">
        <v>1</v>
      </c>
      <c r="L33" s="1235">
        <v>0</v>
      </c>
      <c r="M33" s="1235">
        <v>2</v>
      </c>
      <c r="N33" s="1235">
        <v>2</v>
      </c>
      <c r="O33" s="1235">
        <v>5</v>
      </c>
      <c r="P33" s="1235">
        <v>16</v>
      </c>
      <c r="Q33" s="1235">
        <v>2</v>
      </c>
      <c r="R33" s="1235"/>
      <c r="S33" s="1235">
        <v>11</v>
      </c>
      <c r="T33" s="1235">
        <v>3</v>
      </c>
      <c r="U33" s="1235">
        <v>2</v>
      </c>
      <c r="V33" s="1235">
        <v>7</v>
      </c>
      <c r="W33" s="1235">
        <v>2</v>
      </c>
      <c r="X33" s="1235">
        <v>7</v>
      </c>
      <c r="Y33" s="1235"/>
      <c r="Z33" s="1235">
        <v>1</v>
      </c>
      <c r="AA33" s="997">
        <f t="shared" si="4"/>
        <v>77</v>
      </c>
      <c r="AB33" s="767"/>
      <c r="AC33" s="997">
        <f t="shared" si="5"/>
        <v>0</v>
      </c>
    </row>
    <row r="34" spans="1:29">
      <c r="A34" s="1225" t="s">
        <v>1893</v>
      </c>
      <c r="B34" s="1238" t="s">
        <v>542</v>
      </c>
      <c r="C34" s="1233"/>
      <c r="D34" s="1234"/>
      <c r="E34" s="1235"/>
      <c r="F34" s="1235"/>
      <c r="G34" s="1235"/>
      <c r="H34" s="1235"/>
      <c r="I34" s="1235"/>
      <c r="J34" s="1235"/>
      <c r="K34" s="1235"/>
      <c r="L34" s="1235"/>
      <c r="M34" s="1235"/>
      <c r="N34" s="1235"/>
      <c r="O34" s="1235"/>
      <c r="P34" s="1235"/>
      <c r="Q34" s="1235"/>
      <c r="R34" s="1235"/>
      <c r="S34" s="1235"/>
      <c r="T34" s="1235"/>
      <c r="U34" s="1235"/>
      <c r="V34" s="1235"/>
      <c r="W34" s="1235"/>
      <c r="X34" s="1235"/>
      <c r="Y34" s="1235"/>
      <c r="Z34" s="1235"/>
      <c r="AA34" s="997"/>
      <c r="AB34" s="997"/>
      <c r="AC34" s="997"/>
    </row>
    <row r="35" spans="1:29">
      <c r="A35" s="1230" t="s">
        <v>1894</v>
      </c>
      <c r="B35" s="948" t="s">
        <v>600</v>
      </c>
      <c r="C35" s="804" t="s">
        <v>545</v>
      </c>
      <c r="D35" s="800" t="s">
        <v>18</v>
      </c>
      <c r="E35" s="1235">
        <v>15</v>
      </c>
      <c r="F35" s="1235">
        <v>4</v>
      </c>
      <c r="G35" s="1235">
        <v>5</v>
      </c>
      <c r="H35" s="1235">
        <v>4</v>
      </c>
      <c r="I35" s="1235">
        <v>15</v>
      </c>
      <c r="J35" s="1235">
        <v>5</v>
      </c>
      <c r="K35" s="1235">
        <v>4</v>
      </c>
      <c r="L35" s="1235">
        <v>1</v>
      </c>
      <c r="M35" s="1235">
        <v>3</v>
      </c>
      <c r="N35" s="1235">
        <v>2</v>
      </c>
      <c r="O35" s="1235">
        <v>15</v>
      </c>
      <c r="P35" s="1235">
        <v>3</v>
      </c>
      <c r="Q35" s="1235">
        <v>1</v>
      </c>
      <c r="R35" s="1235">
        <v>1</v>
      </c>
      <c r="S35" s="1235">
        <v>5</v>
      </c>
      <c r="T35" s="1235">
        <v>2</v>
      </c>
      <c r="U35" s="1235">
        <v>2</v>
      </c>
      <c r="V35" s="1235">
        <v>3</v>
      </c>
      <c r="W35" s="1235">
        <v>5</v>
      </c>
      <c r="X35" s="1235">
        <v>3</v>
      </c>
      <c r="Y35" s="1235">
        <v>5</v>
      </c>
      <c r="Z35" s="1235">
        <v>3</v>
      </c>
      <c r="AA35" s="997">
        <f t="shared" si="4"/>
        <v>106</v>
      </c>
      <c r="AB35" s="767"/>
      <c r="AC35" s="997">
        <f t="shared" si="5"/>
        <v>0</v>
      </c>
    </row>
    <row r="36" spans="1:29">
      <c r="A36" s="1230" t="s">
        <v>1895</v>
      </c>
      <c r="B36" s="948" t="s">
        <v>601</v>
      </c>
      <c r="C36" s="804" t="s">
        <v>545</v>
      </c>
      <c r="D36" s="800" t="s">
        <v>18</v>
      </c>
      <c r="E36" s="1235">
        <v>15</v>
      </c>
      <c r="F36" s="1235">
        <v>4</v>
      </c>
      <c r="G36" s="1235">
        <v>5</v>
      </c>
      <c r="H36" s="1235">
        <v>4</v>
      </c>
      <c r="I36" s="1235">
        <v>15</v>
      </c>
      <c r="J36" s="1235">
        <v>5</v>
      </c>
      <c r="K36" s="1235">
        <v>4</v>
      </c>
      <c r="L36" s="1235">
        <v>1</v>
      </c>
      <c r="M36" s="1235">
        <v>3</v>
      </c>
      <c r="N36" s="1235">
        <v>2</v>
      </c>
      <c r="O36" s="1235">
        <v>15</v>
      </c>
      <c r="P36" s="1235">
        <v>3</v>
      </c>
      <c r="Q36" s="1235">
        <v>1</v>
      </c>
      <c r="R36" s="1235">
        <v>1</v>
      </c>
      <c r="S36" s="1235">
        <v>5</v>
      </c>
      <c r="T36" s="1235">
        <v>2</v>
      </c>
      <c r="U36" s="1235">
        <v>2</v>
      </c>
      <c r="V36" s="1235">
        <v>3</v>
      </c>
      <c r="W36" s="1235">
        <v>5</v>
      </c>
      <c r="X36" s="1235">
        <v>3</v>
      </c>
      <c r="Y36" s="1235">
        <v>5</v>
      </c>
      <c r="Z36" s="1235">
        <v>3</v>
      </c>
      <c r="AA36" s="997">
        <f t="shared" si="4"/>
        <v>106</v>
      </c>
      <c r="AB36" s="767"/>
      <c r="AC36" s="997">
        <f t="shared" si="5"/>
        <v>0</v>
      </c>
    </row>
    <row r="37" spans="1:29">
      <c r="A37" s="1230" t="s">
        <v>1896</v>
      </c>
      <c r="B37" s="948" t="s">
        <v>602</v>
      </c>
      <c r="C37" s="804" t="s">
        <v>545</v>
      </c>
      <c r="D37" s="800" t="s">
        <v>18</v>
      </c>
      <c r="E37" s="1235">
        <v>3</v>
      </c>
      <c r="F37" s="1235">
        <v>1</v>
      </c>
      <c r="G37" s="1235">
        <v>1</v>
      </c>
      <c r="H37" s="1235">
        <v>1</v>
      </c>
      <c r="I37" s="1235">
        <v>3</v>
      </c>
      <c r="J37" s="1235">
        <v>1</v>
      </c>
      <c r="K37" s="1235">
        <v>1</v>
      </c>
      <c r="L37" s="1235">
        <v>0</v>
      </c>
      <c r="M37" s="1235">
        <v>0</v>
      </c>
      <c r="N37" s="1235">
        <v>0</v>
      </c>
      <c r="O37" s="1235">
        <v>3</v>
      </c>
      <c r="P37" s="1235">
        <v>1</v>
      </c>
      <c r="Q37" s="1235">
        <v>0</v>
      </c>
      <c r="R37" s="1235">
        <v>0</v>
      </c>
      <c r="S37" s="1235">
        <v>1</v>
      </c>
      <c r="T37" s="1235">
        <v>0</v>
      </c>
      <c r="U37" s="1235">
        <v>1</v>
      </c>
      <c r="V37" s="1235">
        <v>1</v>
      </c>
      <c r="W37" s="1235">
        <v>1</v>
      </c>
      <c r="X37" s="1235">
        <v>1</v>
      </c>
      <c r="Y37" s="1235">
        <v>1</v>
      </c>
      <c r="Z37" s="1235">
        <v>0</v>
      </c>
      <c r="AA37" s="997">
        <f t="shared" si="4"/>
        <v>21</v>
      </c>
      <c r="AB37" s="767"/>
      <c r="AC37" s="997">
        <f t="shared" si="5"/>
        <v>0</v>
      </c>
    </row>
    <row r="38" spans="1:29">
      <c r="A38" s="1225" t="s">
        <v>1897</v>
      </c>
      <c r="B38" s="1237" t="s">
        <v>707</v>
      </c>
      <c r="C38" s="781"/>
      <c r="D38" s="737"/>
      <c r="E38" s="1235"/>
      <c r="F38" s="1235"/>
      <c r="G38" s="1235"/>
      <c r="H38" s="1235"/>
      <c r="I38" s="1235"/>
      <c r="J38" s="1235"/>
      <c r="K38" s="1235"/>
      <c r="L38" s="1235"/>
      <c r="M38" s="1235"/>
      <c r="N38" s="1235"/>
      <c r="O38" s="1235"/>
      <c r="P38" s="1235"/>
      <c r="Q38" s="1235"/>
      <c r="R38" s="1235"/>
      <c r="S38" s="1235"/>
      <c r="T38" s="1235"/>
      <c r="U38" s="1235"/>
      <c r="V38" s="1235"/>
      <c r="W38" s="1235"/>
      <c r="X38" s="1235"/>
      <c r="Y38" s="1235"/>
      <c r="Z38" s="1235"/>
      <c r="AA38" s="997"/>
      <c r="AB38" s="997"/>
      <c r="AC38" s="997"/>
    </row>
    <row r="39" spans="1:29">
      <c r="A39" s="1230" t="s">
        <v>1898</v>
      </c>
      <c r="B39" s="1239" t="s">
        <v>945</v>
      </c>
      <c r="C39" s="1240" t="s">
        <v>430</v>
      </c>
      <c r="D39" s="1241" t="s">
        <v>18</v>
      </c>
      <c r="E39" s="1235">
        <v>0</v>
      </c>
      <c r="F39" s="1235"/>
      <c r="G39" s="1235">
        <v>0</v>
      </c>
      <c r="H39" s="1235"/>
      <c r="I39" s="1235"/>
      <c r="J39" s="1235"/>
      <c r="K39" s="1235"/>
      <c r="L39" s="1235"/>
      <c r="M39" s="1235"/>
      <c r="N39" s="1235"/>
      <c r="O39" s="1235"/>
      <c r="P39" s="1235"/>
      <c r="Q39" s="1235"/>
      <c r="R39" s="1235"/>
      <c r="S39" s="1235"/>
      <c r="T39" s="1235"/>
      <c r="U39" s="1235">
        <v>1</v>
      </c>
      <c r="V39" s="1235">
        <v>0</v>
      </c>
      <c r="W39" s="1235"/>
      <c r="X39" s="1235"/>
      <c r="Y39" s="1235">
        <v>1</v>
      </c>
      <c r="Z39" s="1235"/>
      <c r="AA39" s="997">
        <f t="shared" si="4"/>
        <v>2</v>
      </c>
      <c r="AB39" s="767"/>
      <c r="AC39" s="997">
        <f t="shared" si="5"/>
        <v>0</v>
      </c>
    </row>
    <row r="40" spans="1:29">
      <c r="A40" s="1230" t="s">
        <v>1899</v>
      </c>
      <c r="B40" s="1239" t="s">
        <v>946</v>
      </c>
      <c r="C40" s="1240" t="s">
        <v>430</v>
      </c>
      <c r="D40" s="1241" t="s">
        <v>18</v>
      </c>
      <c r="E40" s="1235">
        <v>0</v>
      </c>
      <c r="F40" s="1235"/>
      <c r="G40" s="1235">
        <v>1</v>
      </c>
      <c r="H40" s="1235"/>
      <c r="I40" s="1235"/>
      <c r="J40" s="1235"/>
      <c r="K40" s="1235"/>
      <c r="L40" s="1235"/>
      <c r="M40" s="1235"/>
      <c r="N40" s="1235"/>
      <c r="O40" s="1235"/>
      <c r="P40" s="1235"/>
      <c r="Q40" s="1235"/>
      <c r="R40" s="1235"/>
      <c r="S40" s="1235"/>
      <c r="T40" s="1235"/>
      <c r="U40" s="1235"/>
      <c r="V40" s="1235">
        <v>1</v>
      </c>
      <c r="W40" s="1235">
        <v>1</v>
      </c>
      <c r="X40" s="1235"/>
      <c r="Y40" s="1235">
        <v>1</v>
      </c>
      <c r="Z40" s="1235">
        <v>1</v>
      </c>
      <c r="AA40" s="997">
        <f t="shared" si="4"/>
        <v>5</v>
      </c>
      <c r="AB40" s="767"/>
      <c r="AC40" s="997">
        <f t="shared" si="5"/>
        <v>0</v>
      </c>
    </row>
    <row r="41" spans="1:29">
      <c r="A41" s="1230" t="s">
        <v>1900</v>
      </c>
      <c r="B41" s="1239" t="s">
        <v>947</v>
      </c>
      <c r="C41" s="1240" t="s">
        <v>430</v>
      </c>
      <c r="D41" s="1241" t="s">
        <v>18</v>
      </c>
      <c r="E41" s="1235">
        <v>0</v>
      </c>
      <c r="F41" s="1235"/>
      <c r="G41" s="1235">
        <v>2</v>
      </c>
      <c r="H41" s="1235"/>
      <c r="I41" s="1235"/>
      <c r="J41" s="1235"/>
      <c r="K41" s="1235"/>
      <c r="L41" s="1235"/>
      <c r="M41" s="1235"/>
      <c r="N41" s="1235"/>
      <c r="O41" s="1235"/>
      <c r="P41" s="1235"/>
      <c r="Q41" s="1235"/>
      <c r="R41" s="1235"/>
      <c r="S41" s="1235">
        <v>1</v>
      </c>
      <c r="T41" s="1235"/>
      <c r="U41" s="1235">
        <v>1</v>
      </c>
      <c r="V41" s="1235">
        <v>1</v>
      </c>
      <c r="W41" s="1235"/>
      <c r="X41" s="1235">
        <v>1</v>
      </c>
      <c r="Y41" s="1235">
        <v>1</v>
      </c>
      <c r="Z41" s="1235">
        <v>1</v>
      </c>
      <c r="AA41" s="997">
        <f t="shared" si="4"/>
        <v>8</v>
      </c>
      <c r="AB41" s="767"/>
      <c r="AC41" s="997">
        <f t="shared" si="5"/>
        <v>0</v>
      </c>
    </row>
    <row r="42" spans="1:29">
      <c r="A42" s="1230" t="s">
        <v>1901</v>
      </c>
      <c r="B42" s="1239" t="s">
        <v>948</v>
      </c>
      <c r="C42" s="1240" t="s">
        <v>430</v>
      </c>
      <c r="D42" s="1241" t="s">
        <v>18</v>
      </c>
      <c r="E42" s="1235">
        <v>0</v>
      </c>
      <c r="F42" s="1235"/>
      <c r="G42" s="1235">
        <v>2</v>
      </c>
      <c r="H42" s="1235"/>
      <c r="I42" s="1235"/>
      <c r="J42" s="1235"/>
      <c r="K42" s="1235"/>
      <c r="L42" s="1235"/>
      <c r="M42" s="1235"/>
      <c r="N42" s="1235"/>
      <c r="O42" s="1235"/>
      <c r="P42" s="1235"/>
      <c r="Q42" s="1235"/>
      <c r="R42" s="1235"/>
      <c r="S42" s="1235"/>
      <c r="T42" s="1235"/>
      <c r="U42" s="1235"/>
      <c r="V42" s="1235">
        <v>0</v>
      </c>
      <c r="W42" s="1235"/>
      <c r="X42" s="1235"/>
      <c r="Y42" s="1235">
        <v>1</v>
      </c>
      <c r="Z42" s="1235"/>
      <c r="AA42" s="997">
        <f t="shared" si="4"/>
        <v>3</v>
      </c>
      <c r="AB42" s="767"/>
      <c r="AC42" s="997">
        <f t="shared" si="5"/>
        <v>0</v>
      </c>
    </row>
    <row r="43" spans="1:29">
      <c r="A43" s="1230" t="s">
        <v>1902</v>
      </c>
      <c r="B43" s="1239" t="s">
        <v>1054</v>
      </c>
      <c r="C43" s="1240" t="s">
        <v>430</v>
      </c>
      <c r="D43" s="1241" t="s">
        <v>18</v>
      </c>
      <c r="E43" s="1235">
        <v>0</v>
      </c>
      <c r="F43" s="1235"/>
      <c r="G43" s="1235">
        <v>1</v>
      </c>
      <c r="H43" s="1235"/>
      <c r="I43" s="1235"/>
      <c r="J43" s="1235"/>
      <c r="K43" s="1235"/>
      <c r="L43" s="1235"/>
      <c r="M43" s="1235"/>
      <c r="N43" s="1235"/>
      <c r="O43" s="1235"/>
      <c r="P43" s="1235"/>
      <c r="Q43" s="1235"/>
      <c r="R43" s="1235"/>
      <c r="S43" s="1235"/>
      <c r="T43" s="1235"/>
      <c r="U43" s="1235"/>
      <c r="V43" s="1235">
        <v>0</v>
      </c>
      <c r="W43" s="1235"/>
      <c r="X43" s="1235"/>
      <c r="Y43" s="1235">
        <v>0</v>
      </c>
      <c r="Z43" s="1235"/>
      <c r="AA43" s="997">
        <f t="shared" si="4"/>
        <v>1</v>
      </c>
      <c r="AB43" s="767"/>
      <c r="AC43" s="997">
        <f t="shared" si="5"/>
        <v>0</v>
      </c>
    </row>
    <row r="44" spans="1:29">
      <c r="A44" s="1230" t="s">
        <v>1903</v>
      </c>
      <c r="B44" s="1239" t="s">
        <v>1055</v>
      </c>
      <c r="C44" s="1240" t="s">
        <v>430</v>
      </c>
      <c r="D44" s="1241" t="s">
        <v>18</v>
      </c>
      <c r="E44" s="1235">
        <v>0</v>
      </c>
      <c r="F44" s="1235"/>
      <c r="G44" s="1235">
        <v>0</v>
      </c>
      <c r="H44" s="1235"/>
      <c r="I44" s="1235"/>
      <c r="J44" s="1235"/>
      <c r="K44" s="1235"/>
      <c r="L44" s="1235"/>
      <c r="M44" s="1235"/>
      <c r="N44" s="1235"/>
      <c r="O44" s="1235"/>
      <c r="P44" s="1235"/>
      <c r="Q44" s="1235"/>
      <c r="R44" s="1235"/>
      <c r="S44" s="1235">
        <v>1</v>
      </c>
      <c r="T44" s="1235"/>
      <c r="U44" s="1235"/>
      <c r="V44" s="1235">
        <v>1</v>
      </c>
      <c r="W44" s="1235"/>
      <c r="X44" s="1235"/>
      <c r="Y44" s="1235">
        <v>1</v>
      </c>
      <c r="Z44" s="1235"/>
      <c r="AA44" s="997">
        <f t="shared" si="4"/>
        <v>3</v>
      </c>
      <c r="AB44" s="767"/>
      <c r="AC44" s="997">
        <f t="shared" si="5"/>
        <v>0</v>
      </c>
    </row>
    <row r="45" spans="1:29">
      <c r="A45" s="1225" t="s">
        <v>1904</v>
      </c>
      <c r="B45" s="1232" t="s">
        <v>539</v>
      </c>
      <c r="C45" s="1233"/>
      <c r="D45" s="1234"/>
      <c r="E45" s="1242"/>
      <c r="F45" s="1242"/>
      <c r="G45" s="1242"/>
      <c r="H45" s="1242"/>
      <c r="I45" s="1242"/>
      <c r="J45" s="1242"/>
      <c r="K45" s="1242"/>
      <c r="L45" s="1242"/>
      <c r="M45" s="1242"/>
      <c r="N45" s="1242"/>
      <c r="O45" s="1242"/>
      <c r="P45" s="1242"/>
      <c r="Q45" s="1242"/>
      <c r="R45" s="1242"/>
      <c r="S45" s="1242"/>
      <c r="T45" s="1242"/>
      <c r="U45" s="1242"/>
      <c r="V45" s="1242"/>
      <c r="W45" s="1242"/>
      <c r="X45" s="1242"/>
      <c r="Y45" s="1242"/>
      <c r="Z45" s="1242"/>
      <c r="AA45" s="997"/>
      <c r="AB45" s="997"/>
      <c r="AC45" s="997"/>
    </row>
    <row r="46" spans="1:29" ht="15.75">
      <c r="A46" s="1230" t="s">
        <v>1905</v>
      </c>
      <c r="B46" s="1239" t="s">
        <v>560</v>
      </c>
      <c r="C46" s="1241" t="s">
        <v>386</v>
      </c>
      <c r="D46" s="1241" t="s">
        <v>351</v>
      </c>
      <c r="E46" s="1229">
        <v>60</v>
      </c>
      <c r="F46" s="1229">
        <v>20</v>
      </c>
      <c r="G46" s="1229">
        <v>100</v>
      </c>
      <c r="H46" s="1229">
        <v>20</v>
      </c>
      <c r="I46" s="1229">
        <v>35</v>
      </c>
      <c r="J46" s="1229">
        <v>30</v>
      </c>
      <c r="K46" s="1229">
        <v>20</v>
      </c>
      <c r="L46" s="1229">
        <v>3</v>
      </c>
      <c r="M46" s="1229">
        <v>10</v>
      </c>
      <c r="N46" s="1229">
        <v>10</v>
      </c>
      <c r="O46" s="1229">
        <v>50</v>
      </c>
      <c r="P46" s="1229">
        <v>30</v>
      </c>
      <c r="Q46" s="1229">
        <v>6</v>
      </c>
      <c r="R46" s="1229">
        <v>3</v>
      </c>
      <c r="S46" s="1229">
        <v>90</v>
      </c>
      <c r="T46" s="1229">
        <v>20</v>
      </c>
      <c r="U46" s="1229">
        <v>15</v>
      </c>
      <c r="V46" s="1229">
        <v>90</v>
      </c>
      <c r="W46" s="1229">
        <v>40</v>
      </c>
      <c r="X46" s="1229">
        <v>90</v>
      </c>
      <c r="Y46" s="1229">
        <v>85</v>
      </c>
      <c r="Z46" s="1229">
        <v>15</v>
      </c>
      <c r="AA46" s="997">
        <f t="shared" ref="AA46:AA73" si="6">SUM(E46:Z46)</f>
        <v>842</v>
      </c>
      <c r="AB46" s="767"/>
      <c r="AC46" s="997">
        <f t="shared" ref="AC46:AC73" si="7">AA46*AB46</f>
        <v>0</v>
      </c>
    </row>
    <row r="47" spans="1:29">
      <c r="A47" s="1230" t="s">
        <v>1906</v>
      </c>
      <c r="B47" s="1239" t="s">
        <v>1008</v>
      </c>
      <c r="C47" s="1241" t="s">
        <v>386</v>
      </c>
      <c r="D47" s="1241" t="s">
        <v>18</v>
      </c>
      <c r="E47" s="1229">
        <v>1</v>
      </c>
      <c r="F47" s="1229">
        <v>0</v>
      </c>
      <c r="G47" s="1229">
        <v>1</v>
      </c>
      <c r="H47" s="1229"/>
      <c r="I47" s="1229">
        <v>2</v>
      </c>
      <c r="J47" s="1229">
        <v>1</v>
      </c>
      <c r="K47" s="1229">
        <v>1</v>
      </c>
      <c r="L47" s="1229">
        <v>0</v>
      </c>
      <c r="M47" s="1229">
        <v>0</v>
      </c>
      <c r="N47" s="1229">
        <v>0</v>
      </c>
      <c r="O47" s="1229">
        <v>1</v>
      </c>
      <c r="P47" s="1229">
        <v>0</v>
      </c>
      <c r="Q47" s="1229">
        <v>0</v>
      </c>
      <c r="R47" s="1229">
        <v>0</v>
      </c>
      <c r="S47" s="1229">
        <v>1</v>
      </c>
      <c r="T47" s="1229">
        <v>0</v>
      </c>
      <c r="U47" s="1229">
        <v>1</v>
      </c>
      <c r="V47" s="1229">
        <v>1</v>
      </c>
      <c r="W47" s="1229">
        <v>1</v>
      </c>
      <c r="X47" s="1229">
        <v>0</v>
      </c>
      <c r="Y47" s="1229">
        <v>1</v>
      </c>
      <c r="Z47" s="1229">
        <v>0</v>
      </c>
      <c r="AA47" s="997">
        <f t="shared" si="6"/>
        <v>12</v>
      </c>
      <c r="AB47" s="767"/>
      <c r="AC47" s="997">
        <f t="shared" si="7"/>
        <v>0</v>
      </c>
    </row>
    <row r="48" spans="1:29">
      <c r="A48" s="1230" t="s">
        <v>1907</v>
      </c>
      <c r="B48" s="1239" t="s">
        <v>1070</v>
      </c>
      <c r="C48" s="1241" t="s">
        <v>386</v>
      </c>
      <c r="D48" s="1241" t="s">
        <v>18</v>
      </c>
      <c r="E48" s="1229">
        <v>1</v>
      </c>
      <c r="F48" s="1229">
        <v>0</v>
      </c>
      <c r="G48" s="1229">
        <v>1</v>
      </c>
      <c r="H48" s="1229"/>
      <c r="I48" s="1229">
        <v>1</v>
      </c>
      <c r="J48" s="1229">
        <v>0</v>
      </c>
      <c r="K48" s="1229">
        <v>0</v>
      </c>
      <c r="L48" s="1229">
        <v>0</v>
      </c>
      <c r="M48" s="1229">
        <v>0</v>
      </c>
      <c r="N48" s="1229">
        <v>0</v>
      </c>
      <c r="O48" s="1229">
        <v>1</v>
      </c>
      <c r="P48" s="1229">
        <v>0</v>
      </c>
      <c r="Q48" s="1229">
        <v>0</v>
      </c>
      <c r="R48" s="1229">
        <v>0</v>
      </c>
      <c r="S48" s="1229">
        <v>1</v>
      </c>
      <c r="T48" s="1229">
        <v>0</v>
      </c>
      <c r="U48" s="1229">
        <v>1</v>
      </c>
      <c r="V48" s="1229">
        <v>1</v>
      </c>
      <c r="W48" s="1229">
        <v>1</v>
      </c>
      <c r="X48" s="1229">
        <v>0</v>
      </c>
      <c r="Y48" s="1229">
        <v>1</v>
      </c>
      <c r="Z48" s="1229">
        <v>0</v>
      </c>
      <c r="AA48" s="997">
        <f t="shared" si="6"/>
        <v>9</v>
      </c>
      <c r="AB48" s="767"/>
      <c r="AC48" s="997">
        <f t="shared" si="7"/>
        <v>0</v>
      </c>
    </row>
    <row r="49" spans="1:29">
      <c r="A49" s="1117" t="s">
        <v>1908</v>
      </c>
      <c r="B49" s="1231" t="s">
        <v>237</v>
      </c>
      <c r="C49" s="1056"/>
      <c r="D49" s="1243"/>
      <c r="E49" s="1244"/>
      <c r="F49" s="1244"/>
      <c r="G49" s="1244"/>
      <c r="H49" s="1244"/>
      <c r="I49" s="1244"/>
      <c r="J49" s="1244"/>
      <c r="K49" s="1244"/>
      <c r="L49" s="1244"/>
      <c r="M49" s="1244"/>
      <c r="N49" s="1244"/>
      <c r="O49" s="1244"/>
      <c r="P49" s="1244"/>
      <c r="Q49" s="1244"/>
      <c r="R49" s="1244"/>
      <c r="S49" s="1244"/>
      <c r="T49" s="1244"/>
      <c r="U49" s="1244"/>
      <c r="V49" s="1244"/>
      <c r="W49" s="1244"/>
      <c r="X49" s="1244"/>
      <c r="Y49" s="1244"/>
      <c r="Z49" s="1244"/>
      <c r="AA49" s="1245"/>
      <c r="AB49" s="1245"/>
      <c r="AC49" s="1245">
        <f>SUM(AC50:AC60)</f>
        <v>0</v>
      </c>
    </row>
    <row r="50" spans="1:29">
      <c r="A50" s="1225" t="s">
        <v>1909</v>
      </c>
      <c r="B50" s="1226" t="s">
        <v>693</v>
      </c>
      <c r="C50" s="1227" t="s">
        <v>411</v>
      </c>
      <c r="D50" s="1228" t="s">
        <v>236</v>
      </c>
      <c r="E50" s="1235"/>
      <c r="F50" s="1235"/>
      <c r="G50" s="1235"/>
      <c r="H50" s="1235"/>
      <c r="I50" s="1235"/>
      <c r="J50" s="1235"/>
      <c r="K50" s="1235"/>
      <c r="L50" s="1235"/>
      <c r="M50" s="1235"/>
      <c r="N50" s="1235"/>
      <c r="O50" s="1235"/>
      <c r="P50" s="1235"/>
      <c r="Q50" s="1235"/>
      <c r="R50" s="1235"/>
      <c r="S50" s="1235"/>
      <c r="T50" s="1235"/>
      <c r="U50" s="1235"/>
      <c r="V50" s="1235"/>
      <c r="W50" s="1235"/>
      <c r="X50" s="1235"/>
      <c r="Y50" s="1235"/>
      <c r="Z50" s="1235"/>
      <c r="AA50" s="997"/>
      <c r="AB50" s="997"/>
      <c r="AC50" s="997"/>
    </row>
    <row r="51" spans="1:29">
      <c r="A51" s="1246" t="s">
        <v>1910</v>
      </c>
      <c r="B51" s="1247" t="s">
        <v>716</v>
      </c>
      <c r="C51" s="1017"/>
      <c r="D51" s="953" t="s">
        <v>236</v>
      </c>
      <c r="E51" s="1235">
        <v>2217</v>
      </c>
      <c r="F51" s="1235">
        <v>973</v>
      </c>
      <c r="G51" s="1235">
        <v>3838</v>
      </c>
      <c r="H51" s="1235">
        <v>863.12</v>
      </c>
      <c r="I51" s="1235">
        <v>1401</v>
      </c>
      <c r="J51" s="1235">
        <v>684</v>
      </c>
      <c r="K51" s="1235">
        <v>418</v>
      </c>
      <c r="L51" s="1235">
        <v>56</v>
      </c>
      <c r="M51" s="1235">
        <v>215</v>
      </c>
      <c r="N51" s="1235">
        <v>195</v>
      </c>
      <c r="O51" s="1235">
        <v>1644</v>
      </c>
      <c r="P51" s="1235">
        <v>694</v>
      </c>
      <c r="Q51" s="1235">
        <v>140</v>
      </c>
      <c r="R51" s="1235">
        <v>74</v>
      </c>
      <c r="S51" s="1235">
        <v>2410</v>
      </c>
      <c r="T51" s="1235">
        <v>434</v>
      </c>
      <c r="U51" s="1235">
        <v>340</v>
      </c>
      <c r="V51" s="1235">
        <v>3170</v>
      </c>
      <c r="W51" s="1235">
        <v>1210</v>
      </c>
      <c r="X51" s="1235">
        <v>2928</v>
      </c>
      <c r="Y51" s="1235">
        <v>2870</v>
      </c>
      <c r="Z51" s="1235">
        <v>373</v>
      </c>
      <c r="AA51" s="997">
        <f t="shared" si="6"/>
        <v>27147.119999999999</v>
      </c>
      <c r="AB51" s="767"/>
      <c r="AC51" s="997">
        <f t="shared" si="7"/>
        <v>0</v>
      </c>
    </row>
    <row r="52" spans="1:29">
      <c r="A52" s="1246" t="s">
        <v>1911</v>
      </c>
      <c r="B52" s="1247" t="s">
        <v>717</v>
      </c>
      <c r="C52" s="1017"/>
      <c r="D52" s="953" t="s">
        <v>236</v>
      </c>
      <c r="E52" s="1235">
        <v>0</v>
      </c>
      <c r="F52" s="1235"/>
      <c r="G52" s="1235"/>
      <c r="H52" s="1235"/>
      <c r="I52" s="1235"/>
      <c r="J52" s="1235"/>
      <c r="K52" s="1235"/>
      <c r="L52" s="1235"/>
      <c r="M52" s="1235"/>
      <c r="N52" s="1235"/>
      <c r="O52" s="1235"/>
      <c r="P52" s="1235"/>
      <c r="Q52" s="1235"/>
      <c r="R52" s="1235"/>
      <c r="S52" s="1235"/>
      <c r="T52" s="1235"/>
      <c r="U52" s="1235"/>
      <c r="V52" s="1235"/>
      <c r="W52" s="1235"/>
      <c r="X52" s="1235">
        <v>7</v>
      </c>
      <c r="Y52" s="1235"/>
      <c r="Z52" s="1235"/>
      <c r="AA52" s="997">
        <f t="shared" si="6"/>
        <v>7</v>
      </c>
      <c r="AB52" s="767"/>
      <c r="AC52" s="997">
        <f t="shared" si="7"/>
        <v>0</v>
      </c>
    </row>
    <row r="53" spans="1:29">
      <c r="A53" s="1246" t="s">
        <v>1912</v>
      </c>
      <c r="B53" s="1247" t="s">
        <v>719</v>
      </c>
      <c r="C53" s="1017"/>
      <c r="D53" s="953" t="s">
        <v>236</v>
      </c>
      <c r="E53" s="1235">
        <v>240</v>
      </c>
      <c r="F53" s="1235">
        <v>60</v>
      </c>
      <c r="G53" s="1235">
        <v>210</v>
      </c>
      <c r="H53" s="1235">
        <v>90</v>
      </c>
      <c r="I53" s="1235">
        <v>240</v>
      </c>
      <c r="J53" s="1235">
        <v>90</v>
      </c>
      <c r="K53" s="1235">
        <v>60</v>
      </c>
      <c r="L53" s="1235"/>
      <c r="M53" s="1235">
        <v>60</v>
      </c>
      <c r="N53" s="1235"/>
      <c r="O53" s="1235">
        <v>180</v>
      </c>
      <c r="P53" s="1235">
        <v>120</v>
      </c>
      <c r="Q53" s="1235">
        <v>0</v>
      </c>
      <c r="R53" s="1235">
        <v>30</v>
      </c>
      <c r="S53" s="1235"/>
      <c r="T53" s="1235"/>
      <c r="U53" s="1235">
        <v>30</v>
      </c>
      <c r="V53" s="1235">
        <v>270</v>
      </c>
      <c r="W53" s="1235">
        <v>150</v>
      </c>
      <c r="X53" s="1235">
        <v>90</v>
      </c>
      <c r="Y53" s="1235">
        <v>150</v>
      </c>
      <c r="Z53" s="1235">
        <v>30</v>
      </c>
      <c r="AA53" s="997">
        <f t="shared" si="6"/>
        <v>2100</v>
      </c>
      <c r="AB53" s="767"/>
      <c r="AC53" s="997">
        <f t="shared" si="7"/>
        <v>0</v>
      </c>
    </row>
    <row r="54" spans="1:29">
      <c r="A54" s="1246" t="s">
        <v>1913</v>
      </c>
      <c r="B54" s="1247" t="s">
        <v>720</v>
      </c>
      <c r="C54" s="1017"/>
      <c r="D54" s="953" t="s">
        <v>236</v>
      </c>
      <c r="E54" s="1235">
        <v>27</v>
      </c>
      <c r="F54" s="1235">
        <v>12</v>
      </c>
      <c r="G54" s="1235">
        <v>30</v>
      </c>
      <c r="H54" s="1235">
        <v>12</v>
      </c>
      <c r="I54" s="1235">
        <v>18</v>
      </c>
      <c r="J54" s="1235">
        <v>12</v>
      </c>
      <c r="K54" s="1235">
        <v>9</v>
      </c>
      <c r="L54" s="1235"/>
      <c r="M54" s="1235">
        <v>3</v>
      </c>
      <c r="N54" s="1235"/>
      <c r="O54" s="1235">
        <v>21</v>
      </c>
      <c r="P54" s="1235">
        <v>12</v>
      </c>
      <c r="Q54" s="1235">
        <v>3</v>
      </c>
      <c r="R54" s="1235">
        <v>0</v>
      </c>
      <c r="S54" s="1235"/>
      <c r="T54" s="1235"/>
      <c r="U54" s="1235">
        <v>6</v>
      </c>
      <c r="V54" s="1235">
        <v>45</v>
      </c>
      <c r="W54" s="1235">
        <v>15</v>
      </c>
      <c r="X54" s="1235">
        <v>36</v>
      </c>
      <c r="Y54" s="1235">
        <v>39</v>
      </c>
      <c r="Z54" s="1235">
        <v>6</v>
      </c>
      <c r="AA54" s="997">
        <f t="shared" si="6"/>
        <v>306</v>
      </c>
      <c r="AB54" s="767"/>
      <c r="AC54" s="997">
        <f t="shared" si="7"/>
        <v>0</v>
      </c>
    </row>
    <row r="55" spans="1:29">
      <c r="A55" s="1225" t="s">
        <v>1914</v>
      </c>
      <c r="B55" s="1226" t="s">
        <v>694</v>
      </c>
      <c r="C55" s="1227" t="s">
        <v>429</v>
      </c>
      <c r="D55" s="1227" t="s">
        <v>236</v>
      </c>
      <c r="E55" s="1235">
        <v>67</v>
      </c>
      <c r="F55" s="1235">
        <v>29</v>
      </c>
      <c r="G55" s="1235">
        <v>115</v>
      </c>
      <c r="H55" s="1235">
        <v>26</v>
      </c>
      <c r="I55" s="1235">
        <v>42</v>
      </c>
      <c r="J55" s="1235">
        <v>21</v>
      </c>
      <c r="K55" s="1235">
        <v>13</v>
      </c>
      <c r="L55" s="1235">
        <v>2</v>
      </c>
      <c r="M55" s="1235">
        <v>6</v>
      </c>
      <c r="N55" s="1235">
        <v>6</v>
      </c>
      <c r="O55" s="1235">
        <v>50</v>
      </c>
      <c r="P55" s="1235">
        <v>21</v>
      </c>
      <c r="Q55" s="1235">
        <v>4</v>
      </c>
      <c r="R55" s="1235">
        <v>2</v>
      </c>
      <c r="S55" s="1235">
        <v>72</v>
      </c>
      <c r="T55" s="1235">
        <v>13</v>
      </c>
      <c r="U55" s="1235">
        <v>10</v>
      </c>
      <c r="V55" s="1235">
        <v>95</v>
      </c>
      <c r="W55" s="1235">
        <v>36</v>
      </c>
      <c r="X55" s="1235">
        <v>88</v>
      </c>
      <c r="Y55" s="1235">
        <v>86</v>
      </c>
      <c r="Z55" s="1235">
        <v>11</v>
      </c>
      <c r="AA55" s="997">
        <f t="shared" si="6"/>
        <v>815</v>
      </c>
      <c r="AB55" s="767"/>
      <c r="AC55" s="997">
        <f t="shared" si="7"/>
        <v>0</v>
      </c>
    </row>
    <row r="56" spans="1:29">
      <c r="A56" s="1225" t="s">
        <v>1915</v>
      </c>
      <c r="B56" s="1226" t="s">
        <v>478</v>
      </c>
      <c r="C56" s="1227" t="str">
        <f>'1. KOLEKTORI'!C88</f>
        <v>2.4.7.</v>
      </c>
      <c r="D56" s="1227" t="s">
        <v>236</v>
      </c>
      <c r="E56" s="1235">
        <v>115</v>
      </c>
      <c r="F56" s="1235">
        <v>50</v>
      </c>
      <c r="G56" s="1235">
        <v>191</v>
      </c>
      <c r="H56" s="1235">
        <v>46.26</v>
      </c>
      <c r="I56" s="1235">
        <v>62</v>
      </c>
      <c r="J56" s="1235">
        <v>37</v>
      </c>
      <c r="K56" s="1235">
        <v>24</v>
      </c>
      <c r="L56" s="1235">
        <v>3</v>
      </c>
      <c r="M56" s="1235">
        <v>11</v>
      </c>
      <c r="N56" s="1235">
        <v>13</v>
      </c>
      <c r="O56" s="1235">
        <v>90</v>
      </c>
      <c r="P56" s="1235">
        <v>40</v>
      </c>
      <c r="Q56" s="1235">
        <v>8</v>
      </c>
      <c r="R56" s="1235">
        <v>4</v>
      </c>
      <c r="S56" s="1235">
        <v>134</v>
      </c>
      <c r="T56" s="1235">
        <v>23</v>
      </c>
      <c r="U56" s="1235">
        <v>17.350000000000001</v>
      </c>
      <c r="V56" s="1235">
        <v>147.47</v>
      </c>
      <c r="W56" s="1235">
        <v>68</v>
      </c>
      <c r="X56" s="1235">
        <v>161</v>
      </c>
      <c r="Y56" s="1235">
        <v>156</v>
      </c>
      <c r="Z56" s="1235">
        <v>21</v>
      </c>
      <c r="AA56" s="997">
        <f>SUM(E56:Z56)</f>
        <v>1422.08</v>
      </c>
      <c r="AB56" s="767"/>
      <c r="AC56" s="997">
        <f>AA56*AB56</f>
        <v>0</v>
      </c>
    </row>
    <row r="57" spans="1:29">
      <c r="A57" s="1225" t="s">
        <v>1916</v>
      </c>
      <c r="B57" s="1226" t="s">
        <v>721</v>
      </c>
      <c r="C57" s="1227" t="str">
        <f>'1. KOLEKTORI'!C89</f>
        <v>2.4.8.</v>
      </c>
      <c r="D57" s="1227" t="s">
        <v>236</v>
      </c>
      <c r="E57" s="1235">
        <v>531</v>
      </c>
      <c r="F57" s="1235">
        <v>263</v>
      </c>
      <c r="G57" s="1235">
        <v>878</v>
      </c>
      <c r="H57" s="1248">
        <v>244.87</v>
      </c>
      <c r="I57" s="1235">
        <v>279</v>
      </c>
      <c r="J57" s="1235">
        <v>149</v>
      </c>
      <c r="K57" s="1235">
        <v>94</v>
      </c>
      <c r="L57" s="1235">
        <v>14</v>
      </c>
      <c r="M57" s="1235">
        <v>44</v>
      </c>
      <c r="N57" s="1235">
        <v>59</v>
      </c>
      <c r="O57" s="1235">
        <v>404</v>
      </c>
      <c r="P57" s="1235">
        <v>156</v>
      </c>
      <c r="Q57" s="1235">
        <v>31</v>
      </c>
      <c r="R57" s="1235">
        <v>16</v>
      </c>
      <c r="S57" s="1235">
        <v>54</v>
      </c>
      <c r="T57" s="1235">
        <v>90</v>
      </c>
      <c r="U57" s="1235">
        <v>69.42</v>
      </c>
      <c r="V57" s="1235">
        <v>733.73</v>
      </c>
      <c r="W57" s="1235">
        <v>294</v>
      </c>
      <c r="X57" s="1235">
        <v>690</v>
      </c>
      <c r="Y57" s="1235">
        <v>678</v>
      </c>
      <c r="Z57" s="1235">
        <v>81</v>
      </c>
      <c r="AA57" s="997">
        <f>SUM(E57:Z57)</f>
        <v>5853.02</v>
      </c>
      <c r="AB57" s="767"/>
      <c r="AC57" s="997">
        <f>AA57*AB57</f>
        <v>0</v>
      </c>
    </row>
    <row r="58" spans="1:29">
      <c r="A58" s="1225" t="s">
        <v>1917</v>
      </c>
      <c r="B58" s="1226" t="s">
        <v>2568</v>
      </c>
      <c r="C58" s="1227" t="str">
        <f>'1. KOLEKTORI'!C91</f>
        <v>2.4.10.</v>
      </c>
      <c r="D58" s="1227" t="s">
        <v>236</v>
      </c>
      <c r="E58" s="1235">
        <v>989</v>
      </c>
      <c r="F58" s="1235">
        <v>625</v>
      </c>
      <c r="G58" s="1235">
        <v>2694</v>
      </c>
      <c r="H58" s="1229">
        <v>539.29</v>
      </c>
      <c r="I58" s="1229">
        <v>1038</v>
      </c>
      <c r="J58" s="1229">
        <v>492</v>
      </c>
      <c r="K58" s="1229">
        <v>297</v>
      </c>
      <c r="L58" s="1229">
        <v>39</v>
      </c>
      <c r="M58" s="1229">
        <v>157</v>
      </c>
      <c r="N58" s="1229">
        <v>119</v>
      </c>
      <c r="O58" s="1229">
        <v>1120</v>
      </c>
      <c r="P58" s="1229">
        <v>492</v>
      </c>
      <c r="Q58" s="1229">
        <v>99</v>
      </c>
      <c r="R58" s="1229">
        <v>53</v>
      </c>
      <c r="S58" s="1229">
        <v>1054</v>
      </c>
      <c r="T58" s="1229">
        <v>318</v>
      </c>
      <c r="U58" s="1229">
        <v>470</v>
      </c>
      <c r="V58" s="1229">
        <v>1532</v>
      </c>
      <c r="W58" s="1229">
        <v>832</v>
      </c>
      <c r="X58" s="1229">
        <v>2046</v>
      </c>
      <c r="Y58" s="1229">
        <v>1997</v>
      </c>
      <c r="Z58" s="1229">
        <v>268</v>
      </c>
      <c r="AA58" s="997">
        <f>SUM(E58:Z58)</f>
        <v>17270.29</v>
      </c>
      <c r="AB58" s="767"/>
      <c r="AC58" s="997">
        <f>AA58*AB58</f>
        <v>0</v>
      </c>
    </row>
    <row r="59" spans="1:29">
      <c r="A59" s="1225" t="s">
        <v>1918</v>
      </c>
      <c r="B59" s="1226" t="s">
        <v>2569</v>
      </c>
      <c r="C59" s="1227" t="s">
        <v>420</v>
      </c>
      <c r="D59" s="1227" t="s">
        <v>236</v>
      </c>
      <c r="E59" s="1235">
        <v>10</v>
      </c>
      <c r="F59" s="1235">
        <v>5</v>
      </c>
      <c r="G59" s="1235">
        <v>12</v>
      </c>
      <c r="H59" s="1235">
        <v>5</v>
      </c>
      <c r="I59" s="1235">
        <v>6</v>
      </c>
      <c r="J59" s="1235">
        <v>5</v>
      </c>
      <c r="K59" s="1235">
        <v>3</v>
      </c>
      <c r="L59" s="1235">
        <v>3</v>
      </c>
      <c r="M59" s="1235">
        <v>3</v>
      </c>
      <c r="N59" s="1235">
        <v>3</v>
      </c>
      <c r="O59" s="1235">
        <v>10</v>
      </c>
      <c r="P59" s="1235">
        <v>5</v>
      </c>
      <c r="Q59" s="1235">
        <v>2</v>
      </c>
      <c r="R59" s="1235">
        <v>3</v>
      </c>
      <c r="S59" s="1235">
        <v>15</v>
      </c>
      <c r="T59" s="1235">
        <v>2</v>
      </c>
      <c r="U59" s="1235">
        <v>3</v>
      </c>
      <c r="V59" s="1235">
        <v>18</v>
      </c>
      <c r="W59" s="1235">
        <v>6</v>
      </c>
      <c r="X59" s="1235">
        <v>12</v>
      </c>
      <c r="Y59" s="1235">
        <v>13</v>
      </c>
      <c r="Z59" s="1235">
        <v>3</v>
      </c>
      <c r="AA59" s="997">
        <f t="shared" si="6"/>
        <v>147</v>
      </c>
      <c r="AB59" s="767"/>
      <c r="AC59" s="997">
        <f t="shared" si="7"/>
        <v>0</v>
      </c>
    </row>
    <row r="60" spans="1:29">
      <c r="A60" s="1225" t="s">
        <v>1919</v>
      </c>
      <c r="B60" s="1232" t="str">
        <f>'1. KOLEKTORI'!B96</f>
        <v>Utovar i odvoz viška materijala</v>
      </c>
      <c r="C60" s="1227" t="str">
        <f>'1. KOLEKTORI'!C96</f>
        <v>2.4.13.</v>
      </c>
      <c r="D60" s="1227" t="s">
        <v>236</v>
      </c>
      <c r="E60" s="1235">
        <v>2551</v>
      </c>
      <c r="F60" s="1235">
        <v>1074</v>
      </c>
      <c r="G60" s="1235">
        <v>4193</v>
      </c>
      <c r="H60" s="1235">
        <v>991.12</v>
      </c>
      <c r="I60" s="1235">
        <v>1701</v>
      </c>
      <c r="J60" s="1235">
        <v>807</v>
      </c>
      <c r="K60" s="1235">
        <v>500</v>
      </c>
      <c r="L60" s="1235">
        <v>58</v>
      </c>
      <c r="M60" s="1235">
        <v>284</v>
      </c>
      <c r="N60" s="1235">
        <v>264</v>
      </c>
      <c r="O60" s="1235">
        <v>1895</v>
      </c>
      <c r="P60" s="1235">
        <v>847</v>
      </c>
      <c r="Q60" s="1235">
        <v>147</v>
      </c>
      <c r="R60" s="1235">
        <v>106</v>
      </c>
      <c r="S60" s="1235">
        <v>2704</v>
      </c>
      <c r="T60" s="1235">
        <v>513</v>
      </c>
      <c r="U60" s="1235">
        <v>386</v>
      </c>
      <c r="V60" s="1235">
        <v>3580</v>
      </c>
      <c r="W60" s="1235">
        <v>1411</v>
      </c>
      <c r="X60" s="1235">
        <v>3142</v>
      </c>
      <c r="Y60" s="1235">
        <v>3145</v>
      </c>
      <c r="Z60" s="1235">
        <v>420</v>
      </c>
      <c r="AA60" s="997">
        <f t="shared" si="6"/>
        <v>30719.120000000003</v>
      </c>
      <c r="AB60" s="767"/>
      <c r="AC60" s="997">
        <f t="shared" si="7"/>
        <v>0</v>
      </c>
    </row>
    <row r="61" spans="1:29">
      <c r="A61" s="1117" t="s">
        <v>1920</v>
      </c>
      <c r="B61" s="1231" t="s">
        <v>929</v>
      </c>
      <c r="C61" s="1000" t="s">
        <v>357</v>
      </c>
      <c r="D61" s="1243"/>
      <c r="E61" s="1244"/>
      <c r="F61" s="1244"/>
      <c r="G61" s="1244"/>
      <c r="H61" s="1244"/>
      <c r="I61" s="1244"/>
      <c r="J61" s="1244"/>
      <c r="K61" s="1244"/>
      <c r="L61" s="1244"/>
      <c r="M61" s="1244"/>
      <c r="N61" s="1244"/>
      <c r="O61" s="1244"/>
      <c r="P61" s="1244"/>
      <c r="Q61" s="1244"/>
      <c r="R61" s="1244"/>
      <c r="S61" s="1244"/>
      <c r="T61" s="1244"/>
      <c r="U61" s="1244"/>
      <c r="V61" s="1244"/>
      <c r="W61" s="1244"/>
      <c r="X61" s="1244"/>
      <c r="Y61" s="1244"/>
      <c r="Z61" s="1244"/>
      <c r="AA61" s="1245"/>
      <c r="AB61" s="1245"/>
      <c r="AC61" s="1245">
        <f>SUM(AC62:AC77)</f>
        <v>0</v>
      </c>
    </row>
    <row r="62" spans="1:29">
      <c r="A62" s="1251" t="s">
        <v>1921</v>
      </c>
      <c r="B62" s="1052" t="s">
        <v>708</v>
      </c>
      <c r="C62" s="702" t="s">
        <v>469</v>
      </c>
      <c r="D62" s="702"/>
      <c r="E62" s="1252"/>
      <c r="F62" s="1252"/>
      <c r="G62" s="1252"/>
      <c r="H62" s="1252"/>
      <c r="I62" s="1252"/>
      <c r="J62" s="1252"/>
      <c r="K62" s="1252"/>
      <c r="L62" s="1252"/>
      <c r="M62" s="1252"/>
      <c r="N62" s="1252"/>
      <c r="O62" s="1252"/>
      <c r="P62" s="1252"/>
      <c r="Q62" s="1252"/>
      <c r="R62" s="1252"/>
      <c r="S62" s="1252"/>
      <c r="T62" s="1252"/>
      <c r="U62" s="1252"/>
      <c r="V62" s="1252"/>
      <c r="W62" s="1252"/>
      <c r="X62" s="1252"/>
      <c r="Y62" s="1252"/>
      <c r="Z62" s="1252"/>
      <c r="AA62" s="997"/>
      <c r="AB62" s="1253"/>
      <c r="AC62" s="997"/>
    </row>
    <row r="63" spans="1:29">
      <c r="A63" s="1254" t="s">
        <v>1922</v>
      </c>
      <c r="B63" s="1069" t="s">
        <v>964</v>
      </c>
      <c r="C63" s="800"/>
      <c r="D63" s="800" t="s">
        <v>18</v>
      </c>
      <c r="E63" s="1235">
        <v>0</v>
      </c>
      <c r="F63" s="1235"/>
      <c r="G63" s="1235">
        <v>3</v>
      </c>
      <c r="H63" s="1235"/>
      <c r="I63" s="1235"/>
      <c r="J63" s="1235"/>
      <c r="K63" s="1235"/>
      <c r="L63" s="1235"/>
      <c r="M63" s="1235"/>
      <c r="N63" s="1235"/>
      <c r="O63" s="1235"/>
      <c r="P63" s="1235"/>
      <c r="Q63" s="1235"/>
      <c r="R63" s="1235"/>
      <c r="S63" s="1235">
        <v>6</v>
      </c>
      <c r="T63" s="1235"/>
      <c r="U63" s="1235">
        <v>1</v>
      </c>
      <c r="V63" s="1235">
        <v>1</v>
      </c>
      <c r="W63" s="1235"/>
      <c r="X63" s="1235">
        <v>4</v>
      </c>
      <c r="Y63" s="1235">
        <v>7</v>
      </c>
      <c r="Z63" s="1235"/>
      <c r="AA63" s="997">
        <f t="shared" si="6"/>
        <v>22</v>
      </c>
      <c r="AB63" s="1255"/>
      <c r="AC63" s="997">
        <f t="shared" si="7"/>
        <v>0</v>
      </c>
    </row>
    <row r="64" spans="1:29">
      <c r="A64" s="1254" t="s">
        <v>1923</v>
      </c>
      <c r="B64" s="1069" t="s">
        <v>965</v>
      </c>
      <c r="C64" s="800"/>
      <c r="D64" s="800" t="s">
        <v>18</v>
      </c>
      <c r="E64" s="1235">
        <v>0</v>
      </c>
      <c r="F64" s="1235">
        <v>18</v>
      </c>
      <c r="G64" s="1235">
        <v>2</v>
      </c>
      <c r="H64" s="1235"/>
      <c r="I64" s="1235"/>
      <c r="J64" s="1235"/>
      <c r="K64" s="1235"/>
      <c r="L64" s="1235"/>
      <c r="M64" s="1235"/>
      <c r="N64" s="1235"/>
      <c r="O64" s="1235"/>
      <c r="P64" s="1235"/>
      <c r="Q64" s="1235"/>
      <c r="R64" s="1235"/>
      <c r="S64" s="1235">
        <v>24</v>
      </c>
      <c r="T64" s="1235"/>
      <c r="U64" s="1235">
        <v>1</v>
      </c>
      <c r="V64" s="1235">
        <v>19</v>
      </c>
      <c r="W64" s="1235"/>
      <c r="X64" s="1235">
        <v>4</v>
      </c>
      <c r="Y64" s="1235">
        <v>25</v>
      </c>
      <c r="Z64" s="1235"/>
      <c r="AA64" s="997">
        <f t="shared" si="6"/>
        <v>93</v>
      </c>
      <c r="AB64" s="1255"/>
      <c r="AC64" s="997">
        <f t="shared" si="7"/>
        <v>0</v>
      </c>
    </row>
    <row r="65" spans="1:29">
      <c r="A65" s="1254" t="s">
        <v>1924</v>
      </c>
      <c r="B65" s="1069" t="s">
        <v>966</v>
      </c>
      <c r="C65" s="800"/>
      <c r="D65" s="800" t="s">
        <v>18</v>
      </c>
      <c r="E65" s="1235">
        <v>0</v>
      </c>
      <c r="F65" s="1235">
        <v>2</v>
      </c>
      <c r="G65" s="1235">
        <v>6</v>
      </c>
      <c r="H65" s="1235"/>
      <c r="I65" s="1235"/>
      <c r="J65" s="1235"/>
      <c r="K65" s="1235"/>
      <c r="L65" s="1235"/>
      <c r="M65" s="1235"/>
      <c r="N65" s="1235"/>
      <c r="O65" s="1235"/>
      <c r="P65" s="1235"/>
      <c r="Q65" s="1235"/>
      <c r="R65" s="1235"/>
      <c r="S65" s="1235">
        <v>10</v>
      </c>
      <c r="T65" s="1235"/>
      <c r="U65" s="1235">
        <v>1</v>
      </c>
      <c r="V65" s="1235">
        <v>18</v>
      </c>
      <c r="W65" s="1235"/>
      <c r="X65" s="1235">
        <v>5</v>
      </c>
      <c r="Y65" s="1235">
        <v>15</v>
      </c>
      <c r="Z65" s="1235"/>
      <c r="AA65" s="997">
        <f t="shared" si="6"/>
        <v>57</v>
      </c>
      <c r="AB65" s="1255"/>
      <c r="AC65" s="997">
        <f t="shared" si="7"/>
        <v>0</v>
      </c>
    </row>
    <row r="66" spans="1:29">
      <c r="A66" s="1251" t="s">
        <v>1925</v>
      </c>
      <c r="B66" s="1256" t="s">
        <v>2570</v>
      </c>
      <c r="C66" s="800" t="s">
        <v>604</v>
      </c>
      <c r="D66" s="800" t="s">
        <v>236</v>
      </c>
      <c r="E66" s="1235">
        <f>1.8+0.1</f>
        <v>1.9000000000000001</v>
      </c>
      <c r="F66" s="1235">
        <v>1</v>
      </c>
      <c r="G66" s="1235">
        <v>4</v>
      </c>
      <c r="H66" s="1235">
        <v>1.5</v>
      </c>
      <c r="I66" s="1235">
        <v>2.5</v>
      </c>
      <c r="J66" s="1235">
        <v>2</v>
      </c>
      <c r="K66" s="1235">
        <v>1.5</v>
      </c>
      <c r="L66" s="1235">
        <v>0.14000000000000001</v>
      </c>
      <c r="M66" s="1235">
        <v>0.5</v>
      </c>
      <c r="N66" s="1235">
        <v>0.2</v>
      </c>
      <c r="O66" s="1235">
        <v>3</v>
      </c>
      <c r="P66" s="1235">
        <v>1</v>
      </c>
      <c r="Q66" s="1235">
        <v>0.5</v>
      </c>
      <c r="R66" s="1235">
        <v>0.3</v>
      </c>
      <c r="S66" s="1235">
        <v>4</v>
      </c>
      <c r="T66" s="1235">
        <v>1</v>
      </c>
      <c r="U66" s="1235">
        <v>0.9</v>
      </c>
      <c r="V66" s="1235">
        <v>8</v>
      </c>
      <c r="W66" s="1235">
        <v>3</v>
      </c>
      <c r="X66" s="1235">
        <v>3</v>
      </c>
      <c r="Y66" s="1235">
        <v>3</v>
      </c>
      <c r="Z66" s="1235">
        <v>3</v>
      </c>
      <c r="AA66" s="997">
        <f>SUM(E66:Z66)</f>
        <v>45.94</v>
      </c>
      <c r="AB66" s="1255"/>
      <c r="AC66" s="997">
        <f t="shared" si="7"/>
        <v>0</v>
      </c>
    </row>
    <row r="67" spans="1:29">
      <c r="A67" s="1251" t="s">
        <v>1926</v>
      </c>
      <c r="B67" s="1057" t="s">
        <v>563</v>
      </c>
      <c r="C67" s="800" t="s">
        <v>497</v>
      </c>
      <c r="D67" s="800" t="s">
        <v>236</v>
      </c>
      <c r="E67" s="1235">
        <v>9</v>
      </c>
      <c r="F67" s="1235">
        <v>3</v>
      </c>
      <c r="G67" s="1235">
        <v>9</v>
      </c>
      <c r="H67" s="1235">
        <v>4</v>
      </c>
      <c r="I67" s="1235">
        <v>9</v>
      </c>
      <c r="J67" s="1235">
        <v>4</v>
      </c>
      <c r="K67" s="1235">
        <v>3</v>
      </c>
      <c r="L67" s="1235">
        <v>1</v>
      </c>
      <c r="M67" s="1235">
        <v>2</v>
      </c>
      <c r="N67" s="1235">
        <v>2</v>
      </c>
      <c r="O67" s="1235">
        <v>7</v>
      </c>
      <c r="P67" s="1235">
        <v>5</v>
      </c>
      <c r="Q67" s="1235">
        <v>1</v>
      </c>
      <c r="R67" s="1235">
        <v>1</v>
      </c>
      <c r="S67" s="1235">
        <v>8</v>
      </c>
      <c r="T67" s="1235">
        <v>3</v>
      </c>
      <c r="U67" s="1235">
        <v>2</v>
      </c>
      <c r="V67" s="1235">
        <f>4.18+3+0.6</f>
        <v>7.7799999999999994</v>
      </c>
      <c r="W67" s="1235">
        <v>5</v>
      </c>
      <c r="X67" s="1235">
        <v>4</v>
      </c>
      <c r="Y67" s="1235">
        <v>6</v>
      </c>
      <c r="Z67" s="1235">
        <v>2</v>
      </c>
      <c r="AA67" s="997">
        <f t="shared" si="6"/>
        <v>97.78</v>
      </c>
      <c r="AB67" s="1255"/>
      <c r="AC67" s="997">
        <f t="shared" si="7"/>
        <v>0</v>
      </c>
    </row>
    <row r="68" spans="1:29">
      <c r="A68" s="1251" t="s">
        <v>1927</v>
      </c>
      <c r="B68" s="1060" t="s">
        <v>571</v>
      </c>
      <c r="C68" s="702"/>
      <c r="D68" s="702"/>
      <c r="E68" s="1235"/>
      <c r="F68" s="1235"/>
      <c r="G68" s="1235"/>
      <c r="H68" s="1235"/>
      <c r="I68" s="1235"/>
      <c r="J68" s="1235"/>
      <c r="K68" s="1235"/>
      <c r="L68" s="1235"/>
      <c r="M68" s="1235"/>
      <c r="N68" s="1235"/>
      <c r="O68" s="1235"/>
      <c r="P68" s="1235"/>
      <c r="Q68" s="1235"/>
      <c r="R68" s="1235"/>
      <c r="S68" s="1235"/>
      <c r="T68" s="1235"/>
      <c r="U68" s="1235"/>
      <c r="V68" s="1235"/>
      <c r="W68" s="1235"/>
      <c r="X68" s="1235"/>
      <c r="Y68" s="1235"/>
      <c r="Z68" s="1235"/>
      <c r="AA68" s="997"/>
      <c r="AB68" s="1253"/>
      <c r="AC68" s="997"/>
    </row>
    <row r="69" spans="1:29">
      <c r="A69" s="1254" t="s">
        <v>1928</v>
      </c>
      <c r="B69" s="1073" t="str">
        <f>'1. KOLEKTORI'!B132</f>
        <v>Izrada AB okna</v>
      </c>
      <c r="C69" s="1445" t="str">
        <f>'1. KOLEKTORI'!C132</f>
        <v>2.5.13</v>
      </c>
      <c r="D69" s="800" t="s">
        <v>236</v>
      </c>
      <c r="E69" s="1235">
        <f>8.75+44.1+7</f>
        <v>59.85</v>
      </c>
      <c r="F69" s="1235">
        <f>2.25+13.67+1.8</f>
        <v>17.72</v>
      </c>
      <c r="G69" s="1235">
        <f>7+40.57+5.6</f>
        <v>53.17</v>
      </c>
      <c r="H69" s="1235">
        <f>4.25+19.37+3.4</f>
        <v>27.02</v>
      </c>
      <c r="I69" s="1235">
        <f>9.06+50.28+7.25</f>
        <v>66.59</v>
      </c>
      <c r="J69" s="1235">
        <f>3+10.69+2.4</f>
        <v>16.09</v>
      </c>
      <c r="K69" s="1235">
        <f>2.25+8.84+1.8</f>
        <v>12.89</v>
      </c>
      <c r="L69" s="1235"/>
      <c r="M69" s="1235">
        <f>2+9.26+1.6</f>
        <v>12.86</v>
      </c>
      <c r="N69" s="1235">
        <f>2+7.58+1.6</f>
        <v>11.18</v>
      </c>
      <c r="O69" s="1235">
        <f>6.5+26.4+5.2</f>
        <v>38.1</v>
      </c>
      <c r="P69" s="1235">
        <f>4+15.98+3.2</f>
        <v>23.18</v>
      </c>
      <c r="Q69" s="1235"/>
      <c r="R69" s="1235">
        <f>1+6.18+0.8</f>
        <v>7.9799999999999995</v>
      </c>
      <c r="S69" s="1235">
        <f>6+36.31+4.8</f>
        <v>47.11</v>
      </c>
      <c r="T69" s="1235">
        <f>2+12.36+1.6</f>
        <v>15.959999999999999</v>
      </c>
      <c r="U69" s="1235">
        <f>1+6.18+0.8</f>
        <v>7.9799999999999995</v>
      </c>
      <c r="V69" s="1235">
        <f>9.5+59.13+7.6</f>
        <v>76.22999999999999</v>
      </c>
      <c r="W69" s="1235">
        <f>5+21.11+4</f>
        <v>30.11</v>
      </c>
      <c r="X69" s="1235">
        <f>3+14.23</f>
        <v>17.23</v>
      </c>
      <c r="Y69" s="1235">
        <f>5+22.44+4</f>
        <v>31.44</v>
      </c>
      <c r="Z69" s="1235">
        <f>1+4.63+0.8</f>
        <v>6.43</v>
      </c>
      <c r="AA69" s="997">
        <f t="shared" si="6"/>
        <v>579.12000000000012</v>
      </c>
      <c r="AB69" s="1255"/>
      <c r="AC69" s="997">
        <f t="shared" si="7"/>
        <v>0</v>
      </c>
    </row>
    <row r="70" spans="1:29">
      <c r="A70" s="1254" t="s">
        <v>1929</v>
      </c>
      <c r="B70" s="1073" t="s">
        <v>572</v>
      </c>
      <c r="C70" s="800" t="s">
        <v>558</v>
      </c>
      <c r="D70" s="800" t="s">
        <v>236</v>
      </c>
      <c r="E70" s="1235"/>
      <c r="F70" s="1235"/>
      <c r="G70" s="1235"/>
      <c r="H70" s="1235"/>
      <c r="I70" s="1235"/>
      <c r="J70" s="1235"/>
      <c r="K70" s="1235"/>
      <c r="L70" s="1235"/>
      <c r="M70" s="1235"/>
      <c r="N70" s="1235"/>
      <c r="O70" s="1235"/>
      <c r="P70" s="1235"/>
      <c r="Q70" s="1235"/>
      <c r="R70" s="1235"/>
      <c r="S70" s="1235"/>
      <c r="T70" s="1235"/>
      <c r="U70" s="1235"/>
      <c r="V70" s="1235"/>
      <c r="W70" s="1235"/>
      <c r="X70" s="1235">
        <v>2.4</v>
      </c>
      <c r="Y70" s="1235"/>
      <c r="Z70" s="1235"/>
      <c r="AA70" s="997">
        <f t="shared" si="6"/>
        <v>2.4</v>
      </c>
      <c r="AB70" s="1255"/>
      <c r="AC70" s="997">
        <f t="shared" si="7"/>
        <v>0</v>
      </c>
    </row>
    <row r="71" spans="1:29">
      <c r="A71" s="1251" t="s">
        <v>1930</v>
      </c>
      <c r="B71" s="1060" t="s">
        <v>392</v>
      </c>
      <c r="C71" s="702" t="s">
        <v>497</v>
      </c>
      <c r="D71" s="702"/>
      <c r="E71" s="1252"/>
      <c r="F71" s="1252"/>
      <c r="G71" s="1252"/>
      <c r="H71" s="1252"/>
      <c r="I71" s="1252"/>
      <c r="J71" s="1252"/>
      <c r="K71" s="1252"/>
      <c r="L71" s="1252"/>
      <c r="M71" s="1252"/>
      <c r="N71" s="1252"/>
      <c r="O71" s="1252"/>
      <c r="P71" s="1252"/>
      <c r="Q71" s="1252"/>
      <c r="R71" s="1252"/>
      <c r="S71" s="1252"/>
      <c r="T71" s="1252"/>
      <c r="U71" s="1252"/>
      <c r="V71" s="1252"/>
      <c r="W71" s="1252"/>
      <c r="X71" s="1252"/>
      <c r="Y71" s="1252"/>
      <c r="Z71" s="1252"/>
      <c r="AA71" s="997"/>
      <c r="AB71" s="1253"/>
      <c r="AC71" s="997"/>
    </row>
    <row r="72" spans="1:29">
      <c r="A72" s="1254" t="s">
        <v>1931</v>
      </c>
      <c r="B72" s="1073" t="s">
        <v>723</v>
      </c>
      <c r="C72" s="800"/>
      <c r="D72" s="800" t="s">
        <v>201</v>
      </c>
      <c r="E72" s="1235">
        <v>2625</v>
      </c>
      <c r="F72" s="1235">
        <v>720</v>
      </c>
      <c r="G72" s="1235">
        <f>2240+35</f>
        <v>2275</v>
      </c>
      <c r="H72" s="1235">
        <f>1080+13.5</f>
        <v>1093.5</v>
      </c>
      <c r="I72" s="1235">
        <f>2650+24.3</f>
        <v>2674.3</v>
      </c>
      <c r="J72" s="1235">
        <f>960+27</f>
        <v>987</v>
      </c>
      <c r="K72" s="1235">
        <f>660+24</f>
        <v>684</v>
      </c>
      <c r="L72" s="1235">
        <v>6</v>
      </c>
      <c r="M72" s="1235">
        <f>640+11</f>
        <v>651</v>
      </c>
      <c r="N72" s="1235">
        <v>640</v>
      </c>
      <c r="O72" s="1235">
        <f>1960+30</f>
        <v>1990</v>
      </c>
      <c r="P72" s="1235">
        <v>1280</v>
      </c>
      <c r="Q72" s="1235">
        <v>8</v>
      </c>
      <c r="R72" s="1235">
        <v>320</v>
      </c>
      <c r="S72" s="1235">
        <f>1920+11</f>
        <v>1931</v>
      </c>
      <c r="T72" s="1235">
        <f>640+5.4</f>
        <v>645.4</v>
      </c>
      <c r="U72" s="1235">
        <f>320+8</f>
        <v>328</v>
      </c>
      <c r="V72" s="1235">
        <f>2880+40</f>
        <v>2920</v>
      </c>
      <c r="W72" s="1235">
        <f>1600+6</f>
        <v>1606</v>
      </c>
      <c r="X72" s="1235">
        <f>960+5.4</f>
        <v>965.4</v>
      </c>
      <c r="Y72" s="1235">
        <f>1600+11</f>
        <v>1611</v>
      </c>
      <c r="Z72" s="1235">
        <f>320+8</f>
        <v>328</v>
      </c>
      <c r="AA72" s="997">
        <f t="shared" si="6"/>
        <v>26288.600000000002</v>
      </c>
      <c r="AB72" s="1255"/>
      <c r="AC72" s="997">
        <f t="shared" si="7"/>
        <v>0</v>
      </c>
    </row>
    <row r="73" spans="1:29">
      <c r="A73" s="1254" t="s">
        <v>1932</v>
      </c>
      <c r="B73" s="1073" t="s">
        <v>724</v>
      </c>
      <c r="C73" s="800"/>
      <c r="D73" s="800" t="s">
        <v>201</v>
      </c>
      <c r="E73" s="1235">
        <v>2290</v>
      </c>
      <c r="F73" s="1235">
        <v>675</v>
      </c>
      <c r="G73" s="1235">
        <f>1925+52</f>
        <v>1977</v>
      </c>
      <c r="H73" s="1235">
        <f>1290+20</f>
        <v>1310</v>
      </c>
      <c r="I73" s="1235">
        <f>2485+36</f>
        <v>2521</v>
      </c>
      <c r="J73" s="1235">
        <f>825+40</f>
        <v>865</v>
      </c>
      <c r="K73" s="1235">
        <f>600+36</f>
        <v>636</v>
      </c>
      <c r="L73" s="1235">
        <v>8</v>
      </c>
      <c r="M73" s="1235">
        <f>550+16</f>
        <v>566</v>
      </c>
      <c r="N73" s="1235">
        <v>550</v>
      </c>
      <c r="O73" s="1235">
        <f>1750+44</f>
        <v>1794</v>
      </c>
      <c r="P73" s="1235">
        <v>1100</v>
      </c>
      <c r="Q73" s="1235">
        <v>12</v>
      </c>
      <c r="R73" s="1235">
        <v>275</v>
      </c>
      <c r="S73" s="1235">
        <f>1650+16</f>
        <v>1666</v>
      </c>
      <c r="T73" s="1235">
        <f>550+8</f>
        <v>558</v>
      </c>
      <c r="U73" s="1235">
        <f>275+12</f>
        <v>287</v>
      </c>
      <c r="V73" s="1235">
        <f>2475+60</f>
        <v>2535</v>
      </c>
      <c r="W73" s="1235">
        <f>1375+8</f>
        <v>1383</v>
      </c>
      <c r="X73" s="1235">
        <f>825+8</f>
        <v>833</v>
      </c>
      <c r="Y73" s="1235">
        <f>1375+16</f>
        <v>1391</v>
      </c>
      <c r="Z73" s="1235">
        <f>275+12</f>
        <v>287</v>
      </c>
      <c r="AA73" s="997">
        <f t="shared" si="6"/>
        <v>23519</v>
      </c>
      <c r="AB73" s="1255"/>
      <c r="AC73" s="997">
        <f t="shared" si="7"/>
        <v>0</v>
      </c>
    </row>
    <row r="74" spans="1:29">
      <c r="A74" s="1251" t="s">
        <v>1933</v>
      </c>
      <c r="B74" s="1249" t="s">
        <v>2571</v>
      </c>
      <c r="C74" s="800"/>
      <c r="D74" s="800" t="s">
        <v>234</v>
      </c>
      <c r="E74" s="1235">
        <v>130.01</v>
      </c>
      <c r="F74" s="1235">
        <v>45.07</v>
      </c>
      <c r="G74" s="1235">
        <v>137.13</v>
      </c>
      <c r="H74" s="1235">
        <v>67.17</v>
      </c>
      <c r="I74" s="1235">
        <v>170.74</v>
      </c>
      <c r="J74" s="1235">
        <v>41.85</v>
      </c>
      <c r="K74" s="1235">
        <v>27.06</v>
      </c>
      <c r="L74" s="1235"/>
      <c r="M74" s="1235">
        <v>27.9</v>
      </c>
      <c r="N74" s="1235">
        <v>23.64</v>
      </c>
      <c r="O74" s="1235">
        <v>80.98</v>
      </c>
      <c r="P74" s="1235">
        <v>49.83</v>
      </c>
      <c r="Q74" s="1235"/>
      <c r="R74" s="1235">
        <v>20.55</v>
      </c>
      <c r="S74" s="1235">
        <v>105.24</v>
      </c>
      <c r="T74" s="1235">
        <v>35.700000000000003</v>
      </c>
      <c r="U74" s="1235"/>
      <c r="V74" s="1235">
        <v>169.75</v>
      </c>
      <c r="W74" s="1235">
        <v>64.59</v>
      </c>
      <c r="X74" s="1235">
        <v>42.69</v>
      </c>
      <c r="Y74" s="1235">
        <v>67.95</v>
      </c>
      <c r="Z74" s="1235">
        <v>19.2</v>
      </c>
      <c r="AA74" s="997">
        <f t="shared" ref="AA74:AA107" si="8">SUM(E74:Z74)</f>
        <v>1327.05</v>
      </c>
      <c r="AB74" s="1255"/>
      <c r="AC74" s="997">
        <f t="shared" ref="AC74:AC107" si="9">AA74*AB74</f>
        <v>0</v>
      </c>
    </row>
    <row r="75" spans="1:29">
      <c r="A75" s="1251" t="s">
        <v>1934</v>
      </c>
      <c r="B75" s="793" t="s">
        <v>726</v>
      </c>
      <c r="C75" s="702"/>
      <c r="D75" s="702" t="s">
        <v>236</v>
      </c>
      <c r="E75" s="1235">
        <v>0.61</v>
      </c>
      <c r="F75" s="1235">
        <v>0.16</v>
      </c>
      <c r="G75" s="1235">
        <v>0.47</v>
      </c>
      <c r="H75" s="1235">
        <v>0.32</v>
      </c>
      <c r="I75" s="1235">
        <v>0.64</v>
      </c>
      <c r="J75" s="1235">
        <v>0.21</v>
      </c>
      <c r="K75" s="1235">
        <v>0.16</v>
      </c>
      <c r="L75" s="1235"/>
      <c r="M75" s="1235">
        <v>0.14000000000000001</v>
      </c>
      <c r="N75" s="1235">
        <v>0.14000000000000001</v>
      </c>
      <c r="O75" s="1235">
        <v>0.45</v>
      </c>
      <c r="P75" s="1235">
        <v>0.28000000000000003</v>
      </c>
      <c r="Q75" s="1235"/>
      <c r="R75" s="1235">
        <v>7.0000000000000007E-2</v>
      </c>
      <c r="S75" s="1235">
        <v>0.42</v>
      </c>
      <c r="T75" s="1235">
        <v>0.14000000000000001</v>
      </c>
      <c r="U75" s="1235">
        <v>7.0000000000000007E-2</v>
      </c>
      <c r="V75" s="1235">
        <v>0.65</v>
      </c>
      <c r="W75" s="1235">
        <v>0.35</v>
      </c>
      <c r="X75" s="1235">
        <v>0.21</v>
      </c>
      <c r="Y75" s="1235">
        <v>0.35</v>
      </c>
      <c r="Z75" s="1235">
        <v>7.0000000000000007E-2</v>
      </c>
      <c r="AA75" s="997">
        <f t="shared" si="8"/>
        <v>5.910000000000001</v>
      </c>
      <c r="AB75" s="1255"/>
      <c r="AC75" s="997">
        <f t="shared" si="9"/>
        <v>0</v>
      </c>
    </row>
    <row r="76" spans="1:29">
      <c r="A76" s="1251" t="s">
        <v>1935</v>
      </c>
      <c r="B76" s="793" t="s">
        <v>930</v>
      </c>
      <c r="C76" s="702"/>
      <c r="D76" s="702"/>
      <c r="E76" s="1235"/>
      <c r="F76" s="1235"/>
      <c r="G76" s="1235"/>
      <c r="H76" s="1235"/>
      <c r="I76" s="1235"/>
      <c r="J76" s="1235"/>
      <c r="K76" s="1235"/>
      <c r="L76" s="1235"/>
      <c r="M76" s="1235"/>
      <c r="N76" s="1235"/>
      <c r="O76" s="1235"/>
      <c r="P76" s="1235"/>
      <c r="Q76" s="1235"/>
      <c r="R76" s="1235"/>
      <c r="S76" s="1235"/>
      <c r="T76" s="1235"/>
      <c r="U76" s="1235"/>
      <c r="V76" s="1235"/>
      <c r="W76" s="1235"/>
      <c r="X76" s="1235"/>
      <c r="Y76" s="1235"/>
      <c r="Z76" s="1235"/>
      <c r="AA76" s="997"/>
      <c r="AB76" s="1253"/>
      <c r="AC76" s="997"/>
    </row>
    <row r="77" spans="1:29">
      <c r="A77" s="1254" t="s">
        <v>1936</v>
      </c>
      <c r="B77" s="1069" t="s">
        <v>727</v>
      </c>
      <c r="C77" s="800"/>
      <c r="D77" s="800" t="s">
        <v>234</v>
      </c>
      <c r="E77" s="1235">
        <v>31.85</v>
      </c>
      <c r="F77" s="1235">
        <v>8.0500000000000007</v>
      </c>
      <c r="G77" s="1235">
        <v>26.95</v>
      </c>
      <c r="H77" s="1235">
        <v>13.3</v>
      </c>
      <c r="I77" s="1235">
        <v>32.549999999999997</v>
      </c>
      <c r="J77" s="1235">
        <v>11.55</v>
      </c>
      <c r="K77" s="1235">
        <v>8.0500000000000007</v>
      </c>
      <c r="L77" s="1235"/>
      <c r="M77" s="1235">
        <v>7.7</v>
      </c>
      <c r="N77" s="1235">
        <v>7.7</v>
      </c>
      <c r="O77" s="1235">
        <v>23.8</v>
      </c>
      <c r="P77" s="1235">
        <v>15.4</v>
      </c>
      <c r="Q77" s="1235"/>
      <c r="R77" s="1235">
        <v>3.85</v>
      </c>
      <c r="S77" s="1235">
        <v>23.1</v>
      </c>
      <c r="T77" s="1235">
        <v>7.7</v>
      </c>
      <c r="U77" s="1235">
        <v>3.85</v>
      </c>
      <c r="V77" s="1235">
        <v>35.35</v>
      </c>
      <c r="W77" s="1235">
        <v>19.25</v>
      </c>
      <c r="X77" s="1235">
        <v>11.55</v>
      </c>
      <c r="Y77" s="1235">
        <v>19.25</v>
      </c>
      <c r="Z77" s="1235">
        <v>3.85</v>
      </c>
      <c r="AA77" s="997">
        <f t="shared" si="8"/>
        <v>314.65000000000003</v>
      </c>
      <c r="AB77" s="1255"/>
      <c r="AC77" s="997">
        <f t="shared" si="9"/>
        <v>0</v>
      </c>
    </row>
    <row r="78" spans="1:29">
      <c r="A78" s="1258" t="s">
        <v>1937</v>
      </c>
      <c r="B78" s="1231" t="s">
        <v>738</v>
      </c>
      <c r="C78" s="1259"/>
      <c r="D78" s="1243"/>
      <c r="E78" s="1244"/>
      <c r="F78" s="1244"/>
      <c r="G78" s="1244"/>
      <c r="H78" s="1244"/>
      <c r="I78" s="1244"/>
      <c r="J78" s="1244"/>
      <c r="K78" s="1244"/>
      <c r="L78" s="1244"/>
      <c r="M78" s="1244"/>
      <c r="N78" s="1244"/>
      <c r="O78" s="1244"/>
      <c r="P78" s="1244"/>
      <c r="Q78" s="1244"/>
      <c r="R78" s="1244"/>
      <c r="S78" s="1244"/>
      <c r="T78" s="1244"/>
      <c r="U78" s="1244"/>
      <c r="V78" s="1244"/>
      <c r="W78" s="1244"/>
      <c r="X78" s="1244"/>
      <c r="Y78" s="1244"/>
      <c r="Z78" s="1244"/>
      <c r="AA78" s="825"/>
      <c r="AB78" s="825"/>
      <c r="AC78" s="1260">
        <f>SUM(AC79:AC102)</f>
        <v>0</v>
      </c>
    </row>
    <row r="79" spans="1:29">
      <c r="A79" s="1261" t="s">
        <v>1938</v>
      </c>
      <c r="B79" s="1055" t="s">
        <v>344</v>
      </c>
      <c r="C79" s="702" t="s">
        <v>382</v>
      </c>
      <c r="D79" s="702"/>
      <c r="E79" s="1252"/>
      <c r="F79" s="1252"/>
      <c r="G79" s="1252"/>
      <c r="H79" s="1262"/>
      <c r="I79" s="1262"/>
      <c r="J79" s="1262"/>
      <c r="K79" s="1262"/>
      <c r="L79" s="1262"/>
      <c r="M79" s="1262"/>
      <c r="N79" s="1262"/>
      <c r="O79" s="1262"/>
      <c r="P79" s="1262"/>
      <c r="Q79" s="1262"/>
      <c r="R79" s="1262"/>
      <c r="S79" s="1262"/>
      <c r="T79" s="1262"/>
      <c r="U79" s="1262"/>
      <c r="V79" s="1262"/>
      <c r="W79" s="1262"/>
      <c r="X79" s="1262"/>
      <c r="Y79" s="1262"/>
      <c r="Z79" s="1262"/>
      <c r="AA79" s="997"/>
      <c r="AB79" s="1263"/>
      <c r="AC79" s="997"/>
    </row>
    <row r="80" spans="1:29">
      <c r="A80" s="1264" t="s">
        <v>1939</v>
      </c>
      <c r="B80" s="965" t="s">
        <v>700</v>
      </c>
      <c r="C80" s="737"/>
      <c r="D80" s="737" t="s">
        <v>11</v>
      </c>
      <c r="E80" s="1235">
        <v>1154</v>
      </c>
      <c r="F80" s="1235">
        <v>50</v>
      </c>
      <c r="G80" s="1235">
        <v>286</v>
      </c>
      <c r="H80" s="1235">
        <v>300</v>
      </c>
      <c r="I80" s="1235">
        <v>1636</v>
      </c>
      <c r="J80" s="1235">
        <v>422</v>
      </c>
      <c r="K80" s="1235">
        <v>550</v>
      </c>
      <c r="L80" s="1235">
        <v>116</v>
      </c>
      <c r="M80" s="1235">
        <v>374</v>
      </c>
      <c r="N80" s="1235">
        <v>20</v>
      </c>
      <c r="O80" s="1235">
        <v>1782</v>
      </c>
      <c r="P80" s="1235">
        <v>552</v>
      </c>
      <c r="Q80" s="1235">
        <v>88</v>
      </c>
      <c r="R80" s="1235"/>
      <c r="S80" s="1235">
        <v>1200</v>
      </c>
      <c r="T80" s="1235">
        <v>10</v>
      </c>
      <c r="U80" s="1235">
        <v>289.23</v>
      </c>
      <c r="V80" s="1235">
        <v>2092</v>
      </c>
      <c r="W80" s="1235">
        <v>350</v>
      </c>
      <c r="X80" s="1235">
        <v>832</v>
      </c>
      <c r="Y80" s="1235">
        <v>362</v>
      </c>
      <c r="Z80" s="1235">
        <v>152</v>
      </c>
      <c r="AA80" s="997">
        <f t="shared" si="8"/>
        <v>12617.23</v>
      </c>
      <c r="AB80" s="1265"/>
      <c r="AC80" s="997">
        <f t="shared" si="9"/>
        <v>0</v>
      </c>
    </row>
    <row r="81" spans="1:29">
      <c r="A81" s="1261" t="s">
        <v>1940</v>
      </c>
      <c r="B81" s="1055" t="s">
        <v>400</v>
      </c>
      <c r="C81" s="702" t="s">
        <v>414</v>
      </c>
      <c r="D81" s="702"/>
      <c r="E81" s="1252"/>
      <c r="F81" s="1252"/>
      <c r="G81" s="1252"/>
      <c r="H81" s="1252"/>
      <c r="I81" s="1252"/>
      <c r="J81" s="1252"/>
      <c r="K81" s="1252"/>
      <c r="L81" s="1252"/>
      <c r="M81" s="1252"/>
      <c r="N81" s="1252"/>
      <c r="O81" s="1252"/>
      <c r="P81" s="1252"/>
      <c r="Q81" s="1252"/>
      <c r="R81" s="1252"/>
      <c r="S81" s="1252"/>
      <c r="T81" s="1252"/>
      <c r="U81" s="1252"/>
      <c r="V81" s="1252"/>
      <c r="W81" s="1252"/>
      <c r="X81" s="1252"/>
      <c r="Y81" s="1252"/>
      <c r="Z81" s="1252"/>
      <c r="AA81" s="997"/>
      <c r="AB81" s="1263"/>
      <c r="AC81" s="997"/>
    </row>
    <row r="82" spans="1:29">
      <c r="A82" s="1264" t="s">
        <v>1941</v>
      </c>
      <c r="B82" s="946" t="s">
        <v>401</v>
      </c>
      <c r="C82" s="737"/>
      <c r="D82" s="737" t="s">
        <v>236</v>
      </c>
      <c r="E82" s="1123">
        <v>37</v>
      </c>
      <c r="F82" s="1123">
        <v>4</v>
      </c>
      <c r="G82" s="1123">
        <v>9</v>
      </c>
      <c r="H82" s="1123">
        <v>12</v>
      </c>
      <c r="I82" s="1123">
        <v>49</v>
      </c>
      <c r="J82" s="1123">
        <v>10</v>
      </c>
      <c r="K82" s="1123">
        <v>13</v>
      </c>
      <c r="L82" s="1123">
        <v>3</v>
      </c>
      <c r="M82" s="1123">
        <v>9</v>
      </c>
      <c r="N82" s="1123">
        <v>0.5</v>
      </c>
      <c r="O82" s="1123">
        <v>57</v>
      </c>
      <c r="P82" s="1123">
        <v>13</v>
      </c>
      <c r="Q82" s="1123">
        <v>2</v>
      </c>
      <c r="R82" s="1123"/>
      <c r="S82" s="1123">
        <v>48</v>
      </c>
      <c r="T82" s="1123">
        <v>0.8</v>
      </c>
      <c r="U82" s="1123">
        <v>10</v>
      </c>
      <c r="V82" s="1123">
        <v>67</v>
      </c>
      <c r="W82" s="1123">
        <v>11</v>
      </c>
      <c r="X82" s="1123">
        <v>27</v>
      </c>
      <c r="Y82" s="1123">
        <v>12</v>
      </c>
      <c r="Z82" s="1123">
        <v>4</v>
      </c>
      <c r="AA82" s="997">
        <f t="shared" si="8"/>
        <v>398.3</v>
      </c>
      <c r="AB82" s="1265"/>
      <c r="AC82" s="997">
        <f t="shared" si="9"/>
        <v>0</v>
      </c>
    </row>
    <row r="83" spans="1:29">
      <c r="A83" s="1266" t="s">
        <v>1942</v>
      </c>
      <c r="B83" s="1267" t="s">
        <v>703</v>
      </c>
      <c r="C83" s="702"/>
      <c r="D83" s="702"/>
      <c r="E83" s="1268"/>
      <c r="F83" s="1268"/>
      <c r="G83" s="1268"/>
      <c r="H83" s="1268"/>
      <c r="I83" s="1268"/>
      <c r="J83" s="1268"/>
      <c r="K83" s="1268"/>
      <c r="L83" s="1268"/>
      <c r="M83" s="1268"/>
      <c r="N83" s="1268"/>
      <c r="O83" s="1268"/>
      <c r="P83" s="1268"/>
      <c r="Q83" s="1268"/>
      <c r="R83" s="1268"/>
      <c r="S83" s="1268"/>
      <c r="T83" s="1268"/>
      <c r="U83" s="1268"/>
      <c r="V83" s="1268"/>
      <c r="W83" s="1268"/>
      <c r="X83" s="1268"/>
      <c r="Y83" s="1268"/>
      <c r="Z83" s="1268"/>
      <c r="AA83" s="997"/>
      <c r="AB83" s="1269"/>
      <c r="AC83" s="997"/>
    </row>
    <row r="84" spans="1:29">
      <c r="A84" s="1271" t="s">
        <v>1943</v>
      </c>
      <c r="B84" s="747" t="s">
        <v>1052</v>
      </c>
      <c r="C84" s="737" t="s">
        <v>2523</v>
      </c>
      <c r="D84" s="737" t="s">
        <v>236</v>
      </c>
      <c r="E84" s="1272">
        <v>185</v>
      </c>
      <c r="F84" s="1272"/>
      <c r="G84" s="1272">
        <v>46</v>
      </c>
      <c r="H84" s="1272">
        <v>59</v>
      </c>
      <c r="I84" s="1272">
        <v>248</v>
      </c>
      <c r="J84" s="1272">
        <v>51</v>
      </c>
      <c r="K84" s="1272">
        <v>66</v>
      </c>
      <c r="L84" s="1272">
        <v>14</v>
      </c>
      <c r="M84" s="1272">
        <v>45</v>
      </c>
      <c r="N84" s="1272">
        <v>4</v>
      </c>
      <c r="O84" s="1272">
        <v>285</v>
      </c>
      <c r="P84" s="1272">
        <v>66</v>
      </c>
      <c r="Q84" s="1272">
        <v>11</v>
      </c>
      <c r="R84" s="1272"/>
      <c r="S84" s="1272">
        <v>240</v>
      </c>
      <c r="T84" s="1272"/>
      <c r="U84" s="1272">
        <v>50</v>
      </c>
      <c r="V84" s="1272">
        <v>335</v>
      </c>
      <c r="W84" s="1272">
        <v>56</v>
      </c>
      <c r="X84" s="1272">
        <v>133</v>
      </c>
      <c r="Y84" s="1272">
        <v>58</v>
      </c>
      <c r="Z84" s="1272">
        <v>18</v>
      </c>
      <c r="AA84" s="997">
        <f t="shared" si="8"/>
        <v>1970</v>
      </c>
      <c r="AB84" s="1273"/>
      <c r="AC84" s="997">
        <f t="shared" si="9"/>
        <v>0</v>
      </c>
    </row>
    <row r="85" spans="1:29" s="1417" customFormat="1" ht="17.25" customHeight="1">
      <c r="A85" s="1271" t="s">
        <v>1944</v>
      </c>
      <c r="B85" s="1357" t="s">
        <v>2572</v>
      </c>
      <c r="C85" s="1353" t="s">
        <v>2573</v>
      </c>
      <c r="D85" s="1353" t="s">
        <v>236</v>
      </c>
      <c r="E85" s="1272">
        <v>115</v>
      </c>
      <c r="F85" s="1272"/>
      <c r="G85" s="1272">
        <v>29</v>
      </c>
      <c r="H85" s="1272">
        <v>37</v>
      </c>
      <c r="I85" s="1272">
        <v>155</v>
      </c>
      <c r="J85" s="1272">
        <v>32</v>
      </c>
      <c r="K85" s="1272">
        <v>41</v>
      </c>
      <c r="L85" s="1272">
        <v>9</v>
      </c>
      <c r="M85" s="1272">
        <v>28</v>
      </c>
      <c r="N85" s="1272">
        <v>2.5</v>
      </c>
      <c r="O85" s="1272">
        <v>178</v>
      </c>
      <c r="P85" s="1272">
        <v>41</v>
      </c>
      <c r="Q85" s="1272">
        <v>7</v>
      </c>
      <c r="R85" s="1272"/>
      <c r="S85" s="1272">
        <v>150</v>
      </c>
      <c r="T85" s="1272"/>
      <c r="U85" s="1272">
        <v>30</v>
      </c>
      <c r="V85" s="1272">
        <v>209</v>
      </c>
      <c r="W85" s="1272">
        <v>35</v>
      </c>
      <c r="X85" s="1272">
        <v>83</v>
      </c>
      <c r="Y85" s="1272">
        <v>36</v>
      </c>
      <c r="Z85" s="1272">
        <v>11</v>
      </c>
      <c r="AA85" s="1403">
        <f t="shared" si="8"/>
        <v>1228.5</v>
      </c>
      <c r="AB85" s="1273"/>
      <c r="AC85" s="1403">
        <f t="shared" si="9"/>
        <v>0</v>
      </c>
    </row>
    <row r="86" spans="1:29">
      <c r="A86" s="1270" t="s">
        <v>1945</v>
      </c>
      <c r="B86" s="1267" t="s">
        <v>463</v>
      </c>
      <c r="C86" s="702" t="s">
        <v>2573</v>
      </c>
      <c r="D86" s="702"/>
      <c r="E86" s="1268"/>
      <c r="F86" s="1268"/>
      <c r="G86" s="1268"/>
      <c r="H86" s="1268"/>
      <c r="I86" s="1268"/>
      <c r="J86" s="1268"/>
      <c r="K86" s="1268"/>
      <c r="L86" s="1268"/>
      <c r="M86" s="1268"/>
      <c r="N86" s="1268"/>
      <c r="O86" s="1268"/>
      <c r="P86" s="1268"/>
      <c r="Q86" s="1268"/>
      <c r="R86" s="1268"/>
      <c r="S86" s="1268"/>
      <c r="T86" s="1268"/>
      <c r="U86" s="1268"/>
      <c r="V86" s="1268"/>
      <c r="W86" s="1268"/>
      <c r="X86" s="1268"/>
      <c r="Y86" s="1268"/>
      <c r="Z86" s="1268"/>
      <c r="AA86" s="997"/>
      <c r="AB86" s="1269"/>
      <c r="AC86" s="997"/>
    </row>
    <row r="87" spans="1:29">
      <c r="A87" s="1271" t="s">
        <v>1946</v>
      </c>
      <c r="B87" s="747" t="str">
        <f>'4. VODOOPSKRBA građ'!B122</f>
        <v>AC 22 base 50/70 AG debljine 6 cm</v>
      </c>
      <c r="C87" s="737"/>
      <c r="D87" s="737" t="s">
        <v>234</v>
      </c>
      <c r="E87" s="1272">
        <v>692</v>
      </c>
      <c r="F87" s="1272">
        <v>50</v>
      </c>
      <c r="G87" s="1272">
        <v>172</v>
      </c>
      <c r="H87" s="1272">
        <v>200</v>
      </c>
      <c r="I87" s="1272">
        <v>947</v>
      </c>
      <c r="J87" s="1272">
        <v>211</v>
      </c>
      <c r="K87" s="1272">
        <v>275</v>
      </c>
      <c r="L87" s="1272">
        <v>58</v>
      </c>
      <c r="M87" s="1272">
        <v>187</v>
      </c>
      <c r="N87" s="1272">
        <v>10</v>
      </c>
      <c r="O87" s="1272">
        <v>1069</v>
      </c>
      <c r="P87" s="1272">
        <v>276</v>
      </c>
      <c r="Q87" s="1272">
        <v>44</v>
      </c>
      <c r="R87" s="1272"/>
      <c r="S87" s="1272">
        <v>600</v>
      </c>
      <c r="T87" s="1272">
        <v>10</v>
      </c>
      <c r="U87" s="1272">
        <v>290</v>
      </c>
      <c r="V87" s="1272">
        <v>1255</v>
      </c>
      <c r="W87" s="1272">
        <v>210</v>
      </c>
      <c r="X87" s="1272">
        <v>500</v>
      </c>
      <c r="Y87" s="1272">
        <v>217</v>
      </c>
      <c r="Z87" s="1272">
        <v>76</v>
      </c>
      <c r="AA87" s="997">
        <f t="shared" si="8"/>
        <v>7349</v>
      </c>
      <c r="AB87" s="1273"/>
      <c r="AC87" s="997">
        <f t="shared" si="9"/>
        <v>0</v>
      </c>
    </row>
    <row r="88" spans="1:29">
      <c r="A88" s="1270" t="s">
        <v>1947</v>
      </c>
      <c r="B88" s="1267" t="s">
        <v>464</v>
      </c>
      <c r="C88" s="1346" t="s">
        <v>2573</v>
      </c>
      <c r="D88" s="702"/>
      <c r="E88" s="1272"/>
      <c r="F88" s="1272"/>
      <c r="G88" s="1272"/>
      <c r="H88" s="1272"/>
      <c r="I88" s="1272"/>
      <c r="J88" s="1272"/>
      <c r="K88" s="1272"/>
      <c r="L88" s="1272"/>
      <c r="M88" s="1272"/>
      <c r="N88" s="1272"/>
      <c r="O88" s="1272"/>
      <c r="P88" s="1272"/>
      <c r="Q88" s="1272"/>
      <c r="R88" s="1272"/>
      <c r="S88" s="1272"/>
      <c r="T88" s="1272"/>
      <c r="U88" s="1272"/>
      <c r="V88" s="1272"/>
      <c r="W88" s="1272"/>
      <c r="X88" s="1272"/>
      <c r="Y88" s="1272"/>
      <c r="Z88" s="1272"/>
      <c r="AA88" s="997"/>
      <c r="AB88" s="1269"/>
      <c r="AC88" s="997"/>
    </row>
    <row r="89" spans="1:29">
      <c r="A89" s="1271" t="s">
        <v>1948</v>
      </c>
      <c r="B89" s="747" t="str">
        <f>'4. VODOOPSKRBA građ'!B124</f>
        <v>AC 11 surf 50/70 AG3 M3-E debljine 4cm</v>
      </c>
      <c r="C89" s="737"/>
      <c r="D89" s="737" t="s">
        <v>234</v>
      </c>
      <c r="E89" s="1272">
        <v>692</v>
      </c>
      <c r="F89" s="1272">
        <v>50</v>
      </c>
      <c r="G89" s="1272">
        <v>172</v>
      </c>
      <c r="H89" s="1272"/>
      <c r="I89" s="1272">
        <v>947</v>
      </c>
      <c r="J89" s="1272">
        <v>211</v>
      </c>
      <c r="K89" s="1272">
        <v>275</v>
      </c>
      <c r="L89" s="1272">
        <v>58</v>
      </c>
      <c r="M89" s="1272">
        <v>187</v>
      </c>
      <c r="N89" s="1272">
        <v>10</v>
      </c>
      <c r="O89" s="1272">
        <v>1069</v>
      </c>
      <c r="P89" s="1272">
        <v>276</v>
      </c>
      <c r="Q89" s="1272">
        <v>44</v>
      </c>
      <c r="R89" s="1272"/>
      <c r="S89" s="1272">
        <v>600</v>
      </c>
      <c r="T89" s="1272">
        <v>10</v>
      </c>
      <c r="U89" s="1272">
        <v>290</v>
      </c>
      <c r="V89" s="1272">
        <v>1255</v>
      </c>
      <c r="W89" s="1272">
        <v>210</v>
      </c>
      <c r="X89" s="1272">
        <v>500</v>
      </c>
      <c r="Y89" s="1272">
        <v>217</v>
      </c>
      <c r="Z89" s="1272">
        <v>76</v>
      </c>
      <c r="AA89" s="997">
        <f t="shared" si="8"/>
        <v>7149</v>
      </c>
      <c r="AB89" s="1273"/>
      <c r="AC89" s="997">
        <f t="shared" si="9"/>
        <v>0</v>
      </c>
    </row>
    <row r="90" spans="1:29">
      <c r="A90" s="1270" t="s">
        <v>1949</v>
      </c>
      <c r="B90" s="1274" t="s">
        <v>1053</v>
      </c>
      <c r="C90" s="1446" t="s">
        <v>2527</v>
      </c>
      <c r="D90" s="702" t="s">
        <v>234</v>
      </c>
      <c r="E90" s="1272">
        <v>1384</v>
      </c>
      <c r="F90" s="1272">
        <v>496.72</v>
      </c>
      <c r="G90" s="1272">
        <v>1800</v>
      </c>
      <c r="H90" s="1272">
        <v>400</v>
      </c>
      <c r="I90" s="1272"/>
      <c r="J90" s="1272">
        <v>250</v>
      </c>
      <c r="K90" s="1272">
        <v>72</v>
      </c>
      <c r="L90" s="1272">
        <v>58</v>
      </c>
      <c r="M90" s="1272"/>
      <c r="N90" s="1272">
        <v>136</v>
      </c>
      <c r="O90" s="1272">
        <v>188</v>
      </c>
      <c r="P90" s="1272">
        <v>232</v>
      </c>
      <c r="Q90" s="1272">
        <v>52</v>
      </c>
      <c r="R90" s="1272"/>
      <c r="S90" s="1272">
        <v>600</v>
      </c>
      <c r="T90" s="1272">
        <v>230</v>
      </c>
      <c r="U90" s="1272"/>
      <c r="V90" s="1272">
        <v>1050</v>
      </c>
      <c r="W90" s="1272">
        <v>536</v>
      </c>
      <c r="X90" s="1272">
        <v>1008</v>
      </c>
      <c r="Y90" s="1272">
        <v>464</v>
      </c>
      <c r="Z90" s="1272">
        <v>160</v>
      </c>
      <c r="AA90" s="997">
        <f t="shared" si="8"/>
        <v>9116.7200000000012</v>
      </c>
      <c r="AB90" s="1273"/>
      <c r="AC90" s="997">
        <f t="shared" si="9"/>
        <v>0</v>
      </c>
    </row>
    <row r="91" spans="1:29">
      <c r="A91" s="1270" t="s">
        <v>1950</v>
      </c>
      <c r="B91" s="1267" t="s">
        <v>474</v>
      </c>
      <c r="C91" s="702" t="s">
        <v>2575</v>
      </c>
      <c r="D91" s="702"/>
      <c r="E91" s="1272"/>
      <c r="F91" s="1272"/>
      <c r="G91" s="1272"/>
      <c r="H91" s="1272"/>
      <c r="I91" s="1272"/>
      <c r="J91" s="1272"/>
      <c r="K91" s="1272"/>
      <c r="L91" s="1272"/>
      <c r="M91" s="1272"/>
      <c r="N91" s="1272"/>
      <c r="O91" s="1272"/>
      <c r="P91" s="1272"/>
      <c r="Q91" s="1272"/>
      <c r="R91" s="1272"/>
      <c r="S91" s="1272"/>
      <c r="T91" s="1272"/>
      <c r="U91" s="1272"/>
      <c r="V91" s="1272"/>
      <c r="W91" s="1272"/>
      <c r="X91" s="1272"/>
      <c r="Y91" s="1272"/>
      <c r="Z91" s="1272"/>
      <c r="AA91" s="997"/>
      <c r="AB91" s="1269"/>
      <c r="AC91" s="997"/>
    </row>
    <row r="92" spans="1:29">
      <c r="A92" s="1271" t="s">
        <v>1951</v>
      </c>
      <c r="B92" s="747" t="s">
        <v>603</v>
      </c>
      <c r="C92" s="737"/>
      <c r="D92" s="737" t="s">
        <v>18</v>
      </c>
      <c r="E92" s="1272">
        <v>2</v>
      </c>
      <c r="F92" s="1272"/>
      <c r="G92" s="1272"/>
      <c r="H92" s="1272">
        <v>2</v>
      </c>
      <c r="I92" s="1272"/>
      <c r="J92" s="1272">
        <v>1</v>
      </c>
      <c r="K92" s="1272">
        <v>4</v>
      </c>
      <c r="L92" s="1272">
        <v>1</v>
      </c>
      <c r="M92" s="1272">
        <v>2</v>
      </c>
      <c r="N92" s="1272">
        <v>1</v>
      </c>
      <c r="O92" s="1272">
        <v>3</v>
      </c>
      <c r="P92" s="1272">
        <v>0</v>
      </c>
      <c r="Q92" s="1272">
        <v>0</v>
      </c>
      <c r="R92" s="1272"/>
      <c r="S92" s="1272">
        <v>5</v>
      </c>
      <c r="T92" s="1272">
        <v>2</v>
      </c>
      <c r="U92" s="1272">
        <v>4</v>
      </c>
      <c r="V92" s="1272">
        <v>32</v>
      </c>
      <c r="W92" s="1272">
        <v>22</v>
      </c>
      <c r="X92" s="1272">
        <v>5</v>
      </c>
      <c r="Y92" s="1272"/>
      <c r="Z92" s="1272"/>
      <c r="AA92" s="997">
        <f t="shared" si="8"/>
        <v>86</v>
      </c>
      <c r="AB92" s="1273"/>
      <c r="AC92" s="997">
        <f t="shared" si="9"/>
        <v>0</v>
      </c>
    </row>
    <row r="93" spans="1:29">
      <c r="A93" s="1271" t="s">
        <v>1952</v>
      </c>
      <c r="B93" s="747" t="s">
        <v>475</v>
      </c>
      <c r="C93" s="737"/>
      <c r="D93" s="737" t="s">
        <v>18</v>
      </c>
      <c r="E93" s="1272">
        <v>3</v>
      </c>
      <c r="F93" s="1272"/>
      <c r="G93" s="1272"/>
      <c r="H93" s="1272">
        <v>2</v>
      </c>
      <c r="I93" s="1272">
        <v>3</v>
      </c>
      <c r="J93" s="1272">
        <v>5</v>
      </c>
      <c r="K93" s="1272">
        <v>14</v>
      </c>
      <c r="L93" s="1272">
        <v>1</v>
      </c>
      <c r="M93" s="1272">
        <v>5</v>
      </c>
      <c r="N93" s="1272">
        <v>2</v>
      </c>
      <c r="O93" s="1272">
        <v>13</v>
      </c>
      <c r="P93" s="1272">
        <v>15</v>
      </c>
      <c r="Q93" s="1272">
        <v>2</v>
      </c>
      <c r="R93" s="1272"/>
      <c r="S93" s="1272">
        <v>5</v>
      </c>
      <c r="T93" s="1272">
        <v>4</v>
      </c>
      <c r="U93" s="1272">
        <v>2</v>
      </c>
      <c r="V93" s="1272">
        <v>7</v>
      </c>
      <c r="W93" s="1272">
        <v>4</v>
      </c>
      <c r="X93" s="1272">
        <v>9</v>
      </c>
      <c r="Y93" s="1272"/>
      <c r="Z93" s="1272"/>
      <c r="AA93" s="997">
        <f t="shared" si="8"/>
        <v>96</v>
      </c>
      <c r="AB93" s="1273"/>
      <c r="AC93" s="997">
        <f t="shared" si="9"/>
        <v>0</v>
      </c>
    </row>
    <row r="94" spans="1:29">
      <c r="A94" s="1271" t="s">
        <v>1953</v>
      </c>
      <c r="B94" s="747" t="s">
        <v>476</v>
      </c>
      <c r="C94" s="737"/>
      <c r="D94" s="737" t="s">
        <v>18</v>
      </c>
      <c r="E94" s="1272">
        <v>2</v>
      </c>
      <c r="F94" s="1272"/>
      <c r="G94" s="1272"/>
      <c r="H94" s="1272">
        <v>1</v>
      </c>
      <c r="I94" s="1272">
        <v>12</v>
      </c>
      <c r="J94" s="1272">
        <v>1</v>
      </c>
      <c r="K94" s="1272">
        <v>1</v>
      </c>
      <c r="L94" s="1272">
        <v>0</v>
      </c>
      <c r="M94" s="1272">
        <v>2</v>
      </c>
      <c r="N94" s="1272">
        <v>2</v>
      </c>
      <c r="O94" s="1272">
        <v>5</v>
      </c>
      <c r="P94" s="1272">
        <v>16</v>
      </c>
      <c r="Q94" s="1272">
        <v>2</v>
      </c>
      <c r="R94" s="1272"/>
      <c r="S94" s="1272">
        <v>11</v>
      </c>
      <c r="T94" s="1272">
        <v>3</v>
      </c>
      <c r="U94" s="1272">
        <v>2</v>
      </c>
      <c r="V94" s="1272">
        <v>7</v>
      </c>
      <c r="W94" s="1272">
        <v>2</v>
      </c>
      <c r="X94" s="1272">
        <v>7</v>
      </c>
      <c r="Y94" s="1272"/>
      <c r="Z94" s="1272"/>
      <c r="AA94" s="997">
        <f t="shared" si="8"/>
        <v>76</v>
      </c>
      <c r="AB94" s="1273"/>
      <c r="AC94" s="997">
        <f t="shared" si="9"/>
        <v>0</v>
      </c>
    </row>
    <row r="95" spans="1:29">
      <c r="A95" s="1270" t="s">
        <v>1954</v>
      </c>
      <c r="B95" s="1267" t="s">
        <v>715</v>
      </c>
      <c r="C95" s="702" t="s">
        <v>2576</v>
      </c>
      <c r="D95" s="702"/>
      <c r="E95" s="1272"/>
      <c r="F95" s="1272"/>
      <c r="G95" s="1272"/>
      <c r="H95" s="1272"/>
      <c r="I95" s="1272"/>
      <c r="J95" s="1272"/>
      <c r="K95" s="1272"/>
      <c r="L95" s="1272"/>
      <c r="M95" s="1272"/>
      <c r="N95" s="1272"/>
      <c r="O95" s="1272"/>
      <c r="P95" s="1272"/>
      <c r="Q95" s="1272"/>
      <c r="R95" s="1272"/>
      <c r="S95" s="1272"/>
      <c r="T95" s="1272"/>
      <c r="U95" s="1272"/>
      <c r="V95" s="1272"/>
      <c r="W95" s="1272"/>
      <c r="X95" s="1272"/>
      <c r="Y95" s="1272"/>
      <c r="Z95" s="1272"/>
      <c r="AA95" s="997"/>
      <c r="AB95" s="1269"/>
      <c r="AC95" s="997"/>
    </row>
    <row r="96" spans="1:29">
      <c r="A96" s="1271" t="s">
        <v>1955</v>
      </c>
      <c r="B96" s="747" t="s">
        <v>742</v>
      </c>
      <c r="C96" s="737" t="s">
        <v>2530</v>
      </c>
      <c r="D96" s="737" t="s">
        <v>11</v>
      </c>
      <c r="E96" s="1272">
        <v>0</v>
      </c>
      <c r="F96" s="1272">
        <v>50</v>
      </c>
      <c r="G96" s="1272">
        <v>20</v>
      </c>
      <c r="H96" s="1272">
        <v>30</v>
      </c>
      <c r="I96" s="1272"/>
      <c r="J96" s="1272">
        <v>20</v>
      </c>
      <c r="K96" s="1272">
        <v>5</v>
      </c>
      <c r="L96" s="1272">
        <v>5</v>
      </c>
      <c r="M96" s="1272">
        <v>10</v>
      </c>
      <c r="N96" s="1272">
        <v>0</v>
      </c>
      <c r="O96" s="1272">
        <v>100</v>
      </c>
      <c r="P96" s="1272">
        <v>60</v>
      </c>
      <c r="Q96" s="1272">
        <v>0</v>
      </c>
      <c r="R96" s="1272"/>
      <c r="S96" s="1272">
        <v>50</v>
      </c>
      <c r="T96" s="1272">
        <v>0</v>
      </c>
      <c r="U96" s="1272">
        <v>10</v>
      </c>
      <c r="V96" s="1272">
        <v>100</v>
      </c>
      <c r="W96" s="1272">
        <v>20</v>
      </c>
      <c r="X96" s="1272">
        <v>50</v>
      </c>
      <c r="Y96" s="1272">
        <v>20</v>
      </c>
      <c r="Z96" s="1272">
        <v>10</v>
      </c>
      <c r="AA96" s="997">
        <f t="shared" si="8"/>
        <v>560</v>
      </c>
      <c r="AB96" s="1273"/>
      <c r="AC96" s="997">
        <f t="shared" si="9"/>
        <v>0</v>
      </c>
    </row>
    <row r="97" spans="1:29">
      <c r="A97" s="1271" t="s">
        <v>1956</v>
      </c>
      <c r="B97" s="747" t="s">
        <v>743</v>
      </c>
      <c r="C97" s="1353" t="s">
        <v>2531</v>
      </c>
      <c r="D97" s="737" t="s">
        <v>11</v>
      </c>
      <c r="E97" s="1272">
        <v>450</v>
      </c>
      <c r="F97" s="1272">
        <v>400</v>
      </c>
      <c r="G97" s="1272">
        <v>100</v>
      </c>
      <c r="H97" s="1272">
        <v>30</v>
      </c>
      <c r="I97" s="1272">
        <v>800</v>
      </c>
      <c r="J97" s="1272">
        <v>20</v>
      </c>
      <c r="K97" s="1272">
        <v>10</v>
      </c>
      <c r="L97" s="1272">
        <v>10</v>
      </c>
      <c r="M97" s="1272">
        <v>20</v>
      </c>
      <c r="N97" s="1272">
        <v>10</v>
      </c>
      <c r="O97" s="1272">
        <v>1000</v>
      </c>
      <c r="P97" s="1272">
        <v>600</v>
      </c>
      <c r="Q97" s="1272">
        <v>44</v>
      </c>
      <c r="R97" s="1272"/>
      <c r="S97" s="1272">
        <v>300</v>
      </c>
      <c r="T97" s="1272">
        <v>10</v>
      </c>
      <c r="U97" s="1272">
        <v>10</v>
      </c>
      <c r="V97" s="1272">
        <v>600</v>
      </c>
      <c r="W97" s="1272">
        <v>160</v>
      </c>
      <c r="X97" s="1272">
        <v>100</v>
      </c>
      <c r="Y97" s="1272">
        <v>200</v>
      </c>
      <c r="Z97" s="1272">
        <v>30</v>
      </c>
      <c r="AA97" s="997">
        <f t="shared" si="8"/>
        <v>4904</v>
      </c>
      <c r="AB97" s="1273"/>
      <c r="AC97" s="997">
        <f t="shared" si="9"/>
        <v>0</v>
      </c>
    </row>
    <row r="98" spans="1:29">
      <c r="A98" s="1271" t="s">
        <v>1957</v>
      </c>
      <c r="B98" s="747" t="s">
        <v>744</v>
      </c>
      <c r="C98" s="1353" t="s">
        <v>2532</v>
      </c>
      <c r="D98" s="737" t="s">
        <v>11</v>
      </c>
      <c r="E98" s="1272">
        <f>54+4</f>
        <v>58</v>
      </c>
      <c r="F98" s="1272">
        <v>24</v>
      </c>
      <c r="G98" s="1272">
        <f>60+20</f>
        <v>80</v>
      </c>
      <c r="H98" s="1272">
        <f>24+8</f>
        <v>32</v>
      </c>
      <c r="I98" s="1272">
        <f>36+4</f>
        <v>40</v>
      </c>
      <c r="J98" s="1272">
        <f>24+8</f>
        <v>32</v>
      </c>
      <c r="K98" s="1272">
        <v>18</v>
      </c>
      <c r="L98" s="1272"/>
      <c r="M98" s="1272">
        <v>6</v>
      </c>
      <c r="N98" s="1272">
        <v>6</v>
      </c>
      <c r="O98" s="1272">
        <v>42</v>
      </c>
      <c r="P98" s="1272">
        <f>24+4</f>
        <v>28</v>
      </c>
      <c r="Q98" s="1272">
        <f>6+4</f>
        <v>10</v>
      </c>
      <c r="R98" s="1272"/>
      <c r="S98" s="1272">
        <f>84+8</f>
        <v>92</v>
      </c>
      <c r="T98" s="1272">
        <v>12</v>
      </c>
      <c r="U98" s="1272">
        <f>12+8</f>
        <v>20</v>
      </c>
      <c r="V98" s="1272">
        <f>90+24</f>
        <v>114</v>
      </c>
      <c r="W98" s="1272">
        <f>30+8</f>
        <v>38</v>
      </c>
      <c r="X98" s="1272">
        <f>72+4</f>
        <v>76</v>
      </c>
      <c r="Y98" s="1272">
        <f>78+4</f>
        <v>82</v>
      </c>
      <c r="Z98" s="1272">
        <f>12+4</f>
        <v>16</v>
      </c>
      <c r="AA98" s="997">
        <f t="shared" si="8"/>
        <v>826</v>
      </c>
      <c r="AB98" s="1273"/>
      <c r="AC98" s="997">
        <f t="shared" si="9"/>
        <v>0</v>
      </c>
    </row>
    <row r="99" spans="1:29">
      <c r="A99" s="1270" t="s">
        <v>1958</v>
      </c>
      <c r="B99" s="1267" t="s">
        <v>740</v>
      </c>
      <c r="C99" s="702" t="s">
        <v>2577</v>
      </c>
      <c r="D99" s="702"/>
      <c r="E99" s="1275"/>
      <c r="F99" s="1268"/>
      <c r="G99" s="1268"/>
      <c r="H99" s="1268"/>
      <c r="I99" s="1268"/>
      <c r="J99" s="1268"/>
      <c r="K99" s="1268"/>
      <c r="L99" s="1268"/>
      <c r="M99" s="1268"/>
      <c r="N99" s="1268"/>
      <c r="O99" s="1268"/>
      <c r="P99" s="1268"/>
      <c r="Q99" s="1268"/>
      <c r="R99" s="1268"/>
      <c r="S99" s="1268"/>
      <c r="T99" s="1268"/>
      <c r="U99" s="1268"/>
      <c r="V99" s="1268"/>
      <c r="W99" s="1268"/>
      <c r="X99" s="1268"/>
      <c r="Y99" s="1268"/>
      <c r="Z99" s="1268"/>
      <c r="AA99" s="997"/>
      <c r="AB99" s="1269"/>
      <c r="AC99" s="997"/>
    </row>
    <row r="100" spans="1:29">
      <c r="A100" s="1271" t="s">
        <v>1959</v>
      </c>
      <c r="B100" s="747" t="s">
        <v>1056</v>
      </c>
      <c r="C100" s="737"/>
      <c r="D100" s="737" t="s">
        <v>234</v>
      </c>
      <c r="E100" s="1276"/>
      <c r="F100" s="1268"/>
      <c r="G100" s="1268"/>
      <c r="H100" s="1272">
        <v>100</v>
      </c>
      <c r="I100" s="1272">
        <v>100</v>
      </c>
      <c r="J100" s="1268"/>
      <c r="K100" s="1268"/>
      <c r="L100" s="1268"/>
      <c r="M100" s="1272">
        <v>20</v>
      </c>
      <c r="N100" s="1268"/>
      <c r="O100" s="1272">
        <v>10</v>
      </c>
      <c r="P100" s="1268"/>
      <c r="Q100" s="1268"/>
      <c r="R100" s="1268"/>
      <c r="S100" s="1268"/>
      <c r="T100" s="1268"/>
      <c r="U100" s="1268"/>
      <c r="V100" s="1268"/>
      <c r="W100" s="1268"/>
      <c r="X100" s="1268"/>
      <c r="Y100" s="1268"/>
      <c r="Z100" s="1268"/>
      <c r="AA100" s="997">
        <f t="shared" si="8"/>
        <v>230</v>
      </c>
      <c r="AB100" s="1273"/>
      <c r="AC100" s="997">
        <f t="shared" si="9"/>
        <v>0</v>
      </c>
    </row>
    <row r="101" spans="1:29">
      <c r="A101" s="1271" t="s">
        <v>1960</v>
      </c>
      <c r="B101" s="747" t="s">
        <v>1057</v>
      </c>
      <c r="C101" s="737"/>
      <c r="D101" s="737" t="s">
        <v>234</v>
      </c>
      <c r="E101" s="1272"/>
      <c r="F101" s="1272"/>
      <c r="G101" s="1272"/>
      <c r="H101" s="1272">
        <v>150</v>
      </c>
      <c r="I101" s="1272">
        <v>150</v>
      </c>
      <c r="J101" s="1272"/>
      <c r="K101" s="1272"/>
      <c r="L101" s="1272"/>
      <c r="M101" s="1272">
        <v>20</v>
      </c>
      <c r="N101" s="1272"/>
      <c r="O101" s="1272">
        <v>10</v>
      </c>
      <c r="P101" s="1272"/>
      <c r="Q101" s="1272"/>
      <c r="R101" s="1272"/>
      <c r="S101" s="1272"/>
      <c r="T101" s="1272"/>
      <c r="U101" s="1272"/>
      <c r="V101" s="1272"/>
      <c r="W101" s="1272"/>
      <c r="X101" s="1272"/>
      <c r="Y101" s="1272"/>
      <c r="Z101" s="1272"/>
      <c r="AA101" s="997">
        <f t="shared" si="8"/>
        <v>330</v>
      </c>
      <c r="AB101" s="1273"/>
      <c r="AC101" s="997">
        <f t="shared" si="9"/>
        <v>0</v>
      </c>
    </row>
    <row r="102" spans="1:29">
      <c r="A102" s="1271" t="s">
        <v>1961</v>
      </c>
      <c r="B102" s="747" t="s">
        <v>1058</v>
      </c>
      <c r="C102" s="737"/>
      <c r="D102" s="737" t="s">
        <v>234</v>
      </c>
      <c r="E102" s="1272">
        <f>1+18</f>
        <v>19</v>
      </c>
      <c r="F102" s="1272">
        <v>8</v>
      </c>
      <c r="G102" s="1272">
        <f>20+5</f>
        <v>25</v>
      </c>
      <c r="H102" s="1272">
        <f>8+2</f>
        <v>10</v>
      </c>
      <c r="I102" s="1272">
        <f>12+1</f>
        <v>13</v>
      </c>
      <c r="J102" s="1272">
        <f>8+2</f>
        <v>10</v>
      </c>
      <c r="K102" s="1272">
        <v>6</v>
      </c>
      <c r="L102" s="1272"/>
      <c r="M102" s="1272">
        <v>2</v>
      </c>
      <c r="N102" s="1272">
        <v>2</v>
      </c>
      <c r="O102" s="1272">
        <v>14</v>
      </c>
      <c r="P102" s="1272">
        <f>8+1</f>
        <v>9</v>
      </c>
      <c r="Q102" s="1272">
        <f>2+1</f>
        <v>3</v>
      </c>
      <c r="R102" s="1272"/>
      <c r="S102" s="1272">
        <f>28+2</f>
        <v>30</v>
      </c>
      <c r="T102" s="1272">
        <v>4</v>
      </c>
      <c r="U102" s="1272">
        <f>4+2</f>
        <v>6</v>
      </c>
      <c r="V102" s="1272">
        <f>30+6</f>
        <v>36</v>
      </c>
      <c r="W102" s="1272">
        <f>10+2</f>
        <v>12</v>
      </c>
      <c r="X102" s="1272">
        <f>24+1</f>
        <v>25</v>
      </c>
      <c r="Y102" s="1272">
        <f>26+1</f>
        <v>27</v>
      </c>
      <c r="Z102" s="1272">
        <f>4+1</f>
        <v>5</v>
      </c>
      <c r="AA102" s="997">
        <f t="shared" si="8"/>
        <v>266</v>
      </c>
      <c r="AB102" s="1273"/>
      <c r="AC102" s="997">
        <f t="shared" si="9"/>
        <v>0</v>
      </c>
    </row>
    <row r="103" spans="1:29">
      <c r="A103" s="1117" t="s">
        <v>1962</v>
      </c>
      <c r="B103" s="1117" t="s">
        <v>388</v>
      </c>
      <c r="C103" s="1119"/>
      <c r="D103" s="1119"/>
      <c r="E103" s="1120"/>
      <c r="F103" s="1120"/>
      <c r="G103" s="1120"/>
      <c r="H103" s="1120"/>
      <c r="I103" s="1120"/>
      <c r="J103" s="1120"/>
      <c r="K103" s="1120"/>
      <c r="L103" s="1120"/>
      <c r="M103" s="1120"/>
      <c r="N103" s="1120"/>
      <c r="O103" s="1120"/>
      <c r="P103" s="1120"/>
      <c r="Q103" s="1120"/>
      <c r="R103" s="1120"/>
      <c r="S103" s="1120"/>
      <c r="T103" s="1120"/>
      <c r="U103" s="1120"/>
      <c r="V103" s="1120"/>
      <c r="W103" s="1120"/>
      <c r="X103" s="1120"/>
      <c r="Y103" s="1120"/>
      <c r="Z103" s="1120"/>
      <c r="AA103" s="1121"/>
      <c r="AB103" s="1121"/>
      <c r="AC103" s="1121">
        <f>SUM(AC104:AC112)</f>
        <v>0</v>
      </c>
    </row>
    <row r="104" spans="1:29">
      <c r="A104" s="1447" t="s">
        <v>2579</v>
      </c>
      <c r="B104" s="1100" t="s">
        <v>2578</v>
      </c>
      <c r="C104" s="1327" t="str">
        <f>'1. KOLEKTORI'!C206</f>
        <v>2.8.13</v>
      </c>
      <c r="D104" s="737" t="s">
        <v>18</v>
      </c>
      <c r="E104" s="1123">
        <v>8</v>
      </c>
      <c r="F104" s="1123">
        <v>2</v>
      </c>
      <c r="G104" s="1123">
        <v>7</v>
      </c>
      <c r="H104" s="1123">
        <v>3</v>
      </c>
      <c r="I104" s="1123">
        <v>8</v>
      </c>
      <c r="J104" s="1123">
        <v>3</v>
      </c>
      <c r="K104" s="1123">
        <v>2</v>
      </c>
      <c r="L104" s="1123"/>
      <c r="M104" s="1123">
        <v>2</v>
      </c>
      <c r="N104" s="1123">
        <v>2</v>
      </c>
      <c r="O104" s="1123">
        <v>6</v>
      </c>
      <c r="P104" s="1123">
        <v>4</v>
      </c>
      <c r="Q104" s="1123"/>
      <c r="R104" s="1123">
        <v>1</v>
      </c>
      <c r="S104" s="1123">
        <v>6</v>
      </c>
      <c r="T104" s="1123">
        <v>2</v>
      </c>
      <c r="U104" s="1123">
        <v>1</v>
      </c>
      <c r="V104" s="1123">
        <v>9</v>
      </c>
      <c r="W104" s="1123">
        <v>5</v>
      </c>
      <c r="X104" s="1123">
        <v>3</v>
      </c>
      <c r="Y104" s="1123">
        <v>5</v>
      </c>
      <c r="Z104" s="1123">
        <v>1</v>
      </c>
      <c r="AA104" s="997">
        <f t="shared" si="8"/>
        <v>80</v>
      </c>
      <c r="AB104" s="1279"/>
      <c r="AC104" s="997">
        <f t="shared" si="9"/>
        <v>0</v>
      </c>
    </row>
    <row r="105" spans="1:29">
      <c r="A105" s="1122" t="s">
        <v>1963</v>
      </c>
      <c r="B105" s="1098" t="s">
        <v>395</v>
      </c>
      <c r="C105" s="737" t="s">
        <v>2580</v>
      </c>
      <c r="D105" s="737"/>
      <c r="E105" s="1277"/>
      <c r="F105" s="1277"/>
      <c r="G105" s="1277"/>
      <c r="H105" s="1277"/>
      <c r="I105" s="1277"/>
      <c r="J105" s="1277"/>
      <c r="K105" s="1277"/>
      <c r="L105" s="1277"/>
      <c r="M105" s="1277"/>
      <c r="N105" s="1277"/>
      <c r="O105" s="1277"/>
      <c r="P105" s="1277"/>
      <c r="Q105" s="1277"/>
      <c r="R105" s="1277"/>
      <c r="S105" s="1277"/>
      <c r="T105" s="1277"/>
      <c r="U105" s="1277"/>
      <c r="V105" s="1277"/>
      <c r="W105" s="1277"/>
      <c r="X105" s="1277"/>
      <c r="Y105" s="1277"/>
      <c r="Z105" s="1277"/>
      <c r="AA105" s="997"/>
      <c r="AB105" s="1278"/>
      <c r="AC105" s="997"/>
    </row>
    <row r="106" spans="1:29" ht="28.5">
      <c r="A106" s="1125" t="s">
        <v>1964</v>
      </c>
      <c r="B106" s="1129" t="s">
        <v>746</v>
      </c>
      <c r="C106" s="790"/>
      <c r="D106" s="790" t="s">
        <v>18</v>
      </c>
      <c r="E106" s="1123">
        <v>0</v>
      </c>
      <c r="F106" s="1123"/>
      <c r="G106" s="1123"/>
      <c r="H106" s="1123"/>
      <c r="I106" s="1123"/>
      <c r="J106" s="1123"/>
      <c r="K106" s="1123"/>
      <c r="L106" s="1123"/>
      <c r="M106" s="1123"/>
      <c r="N106" s="1123"/>
      <c r="O106" s="1123">
        <v>2</v>
      </c>
      <c r="P106" s="1123"/>
      <c r="Q106" s="1123"/>
      <c r="R106" s="1123"/>
      <c r="S106" s="1123"/>
      <c r="T106" s="1123">
        <v>1</v>
      </c>
      <c r="U106" s="1123"/>
      <c r="V106" s="1123">
        <v>1</v>
      </c>
      <c r="W106" s="1123"/>
      <c r="X106" s="1123"/>
      <c r="Y106" s="1123">
        <v>1</v>
      </c>
      <c r="Z106" s="1123"/>
      <c r="AA106" s="997">
        <f t="shared" si="8"/>
        <v>5</v>
      </c>
      <c r="AB106" s="1279"/>
      <c r="AC106" s="997">
        <f t="shared" si="9"/>
        <v>0</v>
      </c>
    </row>
    <row r="107" spans="1:29" ht="28.5">
      <c r="A107" s="1125" t="s">
        <v>1965</v>
      </c>
      <c r="B107" s="1129" t="s">
        <v>1059</v>
      </c>
      <c r="C107" s="790"/>
      <c r="D107" s="790" t="s">
        <v>18</v>
      </c>
      <c r="E107" s="1123">
        <v>0</v>
      </c>
      <c r="F107" s="1123"/>
      <c r="G107" s="1123"/>
      <c r="H107" s="1123"/>
      <c r="I107" s="1123">
        <v>2</v>
      </c>
      <c r="J107" s="1123"/>
      <c r="K107" s="1123"/>
      <c r="L107" s="1123"/>
      <c r="M107" s="1123"/>
      <c r="N107" s="1123"/>
      <c r="O107" s="1123"/>
      <c r="P107" s="1123"/>
      <c r="Q107" s="1123"/>
      <c r="R107" s="1123"/>
      <c r="S107" s="1123">
        <v>2</v>
      </c>
      <c r="T107" s="1123"/>
      <c r="U107" s="1123"/>
      <c r="V107" s="1123"/>
      <c r="W107" s="1123"/>
      <c r="X107" s="1123"/>
      <c r="Y107" s="1123"/>
      <c r="Z107" s="1123"/>
      <c r="AA107" s="997">
        <f t="shared" si="8"/>
        <v>4</v>
      </c>
      <c r="AB107" s="1279"/>
      <c r="AC107" s="997">
        <f t="shared" si="9"/>
        <v>0</v>
      </c>
    </row>
    <row r="108" spans="1:29" ht="28.5">
      <c r="A108" s="1125" t="s">
        <v>1966</v>
      </c>
      <c r="B108" s="1129" t="s">
        <v>1060</v>
      </c>
      <c r="C108" s="790"/>
      <c r="D108" s="790" t="s">
        <v>18</v>
      </c>
      <c r="E108" s="1123">
        <v>2</v>
      </c>
      <c r="F108" s="1123">
        <v>1</v>
      </c>
      <c r="G108" s="1123"/>
      <c r="H108" s="1123"/>
      <c r="I108" s="1123">
        <v>2</v>
      </c>
      <c r="J108" s="1123"/>
      <c r="K108" s="1123"/>
      <c r="L108" s="1123"/>
      <c r="M108" s="1123"/>
      <c r="N108" s="1123"/>
      <c r="O108" s="1123"/>
      <c r="P108" s="1123"/>
      <c r="Q108" s="1123"/>
      <c r="R108" s="1123"/>
      <c r="S108" s="1123"/>
      <c r="T108" s="1123"/>
      <c r="U108" s="1123"/>
      <c r="V108" s="1123"/>
      <c r="W108" s="1123"/>
      <c r="X108" s="1123"/>
      <c r="Y108" s="1123"/>
      <c r="Z108" s="1123"/>
      <c r="AA108" s="997">
        <f t="shared" ref="AA108:AA132" si="10">SUM(E108:Z108)</f>
        <v>5</v>
      </c>
      <c r="AB108" s="1279"/>
      <c r="AC108" s="997">
        <f t="shared" ref="AC108:AC132" si="11">AA108*AB108</f>
        <v>0</v>
      </c>
    </row>
    <row r="109" spans="1:29" ht="28.5">
      <c r="A109" s="1125" t="s">
        <v>1967</v>
      </c>
      <c r="B109" s="1129" t="s">
        <v>748</v>
      </c>
      <c r="C109" s="790"/>
      <c r="D109" s="790" t="s">
        <v>18</v>
      </c>
      <c r="E109" s="1123">
        <v>1</v>
      </c>
      <c r="F109" s="1123"/>
      <c r="G109" s="1123"/>
      <c r="H109" s="1123">
        <v>1</v>
      </c>
      <c r="I109" s="1123"/>
      <c r="J109" s="1123"/>
      <c r="K109" s="1123"/>
      <c r="L109" s="1123"/>
      <c r="M109" s="1123"/>
      <c r="N109" s="1123"/>
      <c r="O109" s="1123"/>
      <c r="P109" s="1123"/>
      <c r="Q109" s="1123"/>
      <c r="R109" s="1123"/>
      <c r="S109" s="1123"/>
      <c r="T109" s="1123"/>
      <c r="U109" s="1123"/>
      <c r="V109" s="1123"/>
      <c r="W109" s="1123"/>
      <c r="X109" s="1123"/>
      <c r="Y109" s="1123"/>
      <c r="Z109" s="1123"/>
      <c r="AA109" s="997">
        <f t="shared" si="10"/>
        <v>2</v>
      </c>
      <c r="AB109" s="1279"/>
      <c r="AC109" s="997">
        <f t="shared" si="11"/>
        <v>0</v>
      </c>
    </row>
    <row r="110" spans="1:29">
      <c r="A110" s="1122" t="s">
        <v>1968</v>
      </c>
      <c r="B110" s="964" t="s">
        <v>498</v>
      </c>
      <c r="C110" s="737" t="s">
        <v>2541</v>
      </c>
      <c r="D110" s="737"/>
      <c r="E110" s="1277"/>
      <c r="F110" s="1277"/>
      <c r="G110" s="1277"/>
      <c r="H110" s="1277"/>
      <c r="I110" s="1277"/>
      <c r="J110" s="1277"/>
      <c r="K110" s="1277"/>
      <c r="L110" s="1277"/>
      <c r="M110" s="1277"/>
      <c r="N110" s="1277"/>
      <c r="O110" s="1277"/>
      <c r="P110" s="1277"/>
      <c r="Q110" s="1277"/>
      <c r="R110" s="1277"/>
      <c r="S110" s="1277"/>
      <c r="T110" s="1277"/>
      <c r="U110" s="1277"/>
      <c r="V110" s="1277"/>
      <c r="W110" s="1277"/>
      <c r="X110" s="1277"/>
      <c r="Y110" s="1277"/>
      <c r="Z110" s="1277"/>
      <c r="AA110" s="997"/>
      <c r="AB110" s="1278"/>
      <c r="AC110" s="997"/>
    </row>
    <row r="111" spans="1:29">
      <c r="A111" s="1125" t="s">
        <v>1969</v>
      </c>
      <c r="B111" s="964" t="s">
        <v>729</v>
      </c>
      <c r="C111" s="800" t="s">
        <v>2563</v>
      </c>
      <c r="D111" s="800" t="s">
        <v>18</v>
      </c>
      <c r="E111" s="1123">
        <v>58</v>
      </c>
      <c r="F111" s="1123">
        <v>18</v>
      </c>
      <c r="G111" s="1123">
        <v>57</v>
      </c>
      <c r="H111" s="1123">
        <v>21</v>
      </c>
      <c r="I111" s="1123">
        <v>65</v>
      </c>
      <c r="J111" s="1123">
        <v>15</v>
      </c>
      <c r="K111" s="1123">
        <v>12</v>
      </c>
      <c r="L111" s="1123"/>
      <c r="M111" s="1123">
        <v>14</v>
      </c>
      <c r="N111" s="1123">
        <v>10</v>
      </c>
      <c r="O111" s="1123">
        <v>35</v>
      </c>
      <c r="P111" s="1123">
        <v>22</v>
      </c>
      <c r="Q111" s="1123"/>
      <c r="R111" s="1123">
        <v>7</v>
      </c>
      <c r="S111" s="1123">
        <v>51</v>
      </c>
      <c r="T111" s="1123">
        <v>18</v>
      </c>
      <c r="U111" s="1123">
        <v>9</v>
      </c>
      <c r="V111" s="1123">
        <v>80</v>
      </c>
      <c r="W111" s="1123">
        <v>30</v>
      </c>
      <c r="X111" s="1123">
        <v>21</v>
      </c>
      <c r="Y111" s="1123">
        <v>32</v>
      </c>
      <c r="Z111" s="1123">
        <v>7</v>
      </c>
      <c r="AA111" s="997">
        <f t="shared" si="10"/>
        <v>582</v>
      </c>
      <c r="AB111" s="1279"/>
      <c r="AC111" s="997">
        <f t="shared" si="11"/>
        <v>0</v>
      </c>
    </row>
    <row r="112" spans="1:29" s="1417" customFormat="1">
      <c r="A112" s="1447" t="s">
        <v>2728</v>
      </c>
      <c r="B112" s="1395" t="s">
        <v>2729</v>
      </c>
      <c r="C112" s="1370"/>
      <c r="D112" s="1370" t="s">
        <v>18</v>
      </c>
      <c r="E112" s="1418">
        <v>1</v>
      </c>
      <c r="F112" s="1418">
        <v>1</v>
      </c>
      <c r="G112" s="1418">
        <v>1</v>
      </c>
      <c r="H112" s="1418">
        <v>1</v>
      </c>
      <c r="I112" s="1418">
        <v>1</v>
      </c>
      <c r="J112" s="1418">
        <v>1</v>
      </c>
      <c r="K112" s="1418">
        <v>1</v>
      </c>
      <c r="L112" s="1418">
        <v>1</v>
      </c>
      <c r="M112" s="1418">
        <v>1</v>
      </c>
      <c r="N112" s="1418">
        <v>1</v>
      </c>
      <c r="O112" s="1418">
        <v>1</v>
      </c>
      <c r="P112" s="1418">
        <v>1</v>
      </c>
      <c r="Q112" s="1418">
        <v>1</v>
      </c>
      <c r="R112" s="1418">
        <v>1</v>
      </c>
      <c r="S112" s="1418">
        <v>1</v>
      </c>
      <c r="T112" s="1418">
        <v>1</v>
      </c>
      <c r="U112" s="1418">
        <v>1</v>
      </c>
      <c r="V112" s="1418">
        <v>1</v>
      </c>
      <c r="W112" s="1418">
        <v>1</v>
      </c>
      <c r="X112" s="1418">
        <v>1</v>
      </c>
      <c r="Y112" s="1418">
        <v>1</v>
      </c>
      <c r="Z112" s="1418">
        <v>1</v>
      </c>
      <c r="AA112" s="1403">
        <f t="shared" ref="AA112" si="12">SUM(E112:Z112)</f>
        <v>22</v>
      </c>
      <c r="AB112" s="1279"/>
      <c r="AC112" s="1403">
        <f t="shared" ref="AC112" si="13">AA112*AB112</f>
        <v>0</v>
      </c>
    </row>
    <row r="113" spans="1:29" s="1286" customFormat="1" ht="28.5">
      <c r="A113" s="1280" t="s">
        <v>1970</v>
      </c>
      <c r="B113" s="1281" t="s">
        <v>804</v>
      </c>
      <c r="C113" s="1282"/>
      <c r="D113" s="1283"/>
      <c r="E113" s="1284"/>
      <c r="F113" s="1284"/>
      <c r="G113" s="1284"/>
      <c r="H113" s="1284"/>
      <c r="I113" s="1284"/>
      <c r="J113" s="1284"/>
      <c r="K113" s="1284"/>
      <c r="L113" s="1284"/>
      <c r="M113" s="1284"/>
      <c r="N113" s="1284"/>
      <c r="O113" s="1284"/>
      <c r="P113" s="1284"/>
      <c r="Q113" s="1284"/>
      <c r="R113" s="1284"/>
      <c r="S113" s="1284"/>
      <c r="T113" s="1284"/>
      <c r="U113" s="1284"/>
      <c r="V113" s="1284"/>
      <c r="W113" s="1284"/>
      <c r="X113" s="1284"/>
      <c r="Y113" s="1284"/>
      <c r="Z113" s="1284"/>
      <c r="AA113" s="1285"/>
      <c r="AB113" s="1285"/>
      <c r="AC113" s="998">
        <f>SUM(AC114:AC132)</f>
        <v>0</v>
      </c>
    </row>
    <row r="114" spans="1:29">
      <c r="A114" s="1287" t="s">
        <v>1971</v>
      </c>
      <c r="B114" s="1288" t="s">
        <v>805</v>
      </c>
      <c r="C114" s="1289"/>
      <c r="D114" s="1290" t="s">
        <v>236</v>
      </c>
      <c r="E114" s="1130">
        <v>54</v>
      </c>
      <c r="F114" s="1229"/>
      <c r="G114" s="1229">
        <v>54</v>
      </c>
      <c r="H114" s="1229">
        <v>54</v>
      </c>
      <c r="I114" s="1229">
        <f>54+108</f>
        <v>162</v>
      </c>
      <c r="J114" s="1229"/>
      <c r="K114" s="1229">
        <v>54</v>
      </c>
      <c r="L114" s="1229"/>
      <c r="M114" s="1229"/>
      <c r="N114" s="1229"/>
      <c r="O114" s="1229">
        <v>54</v>
      </c>
      <c r="P114" s="1229"/>
      <c r="Q114" s="1229"/>
      <c r="R114" s="1229"/>
      <c r="S114" s="1229">
        <f>54+54</f>
        <v>108</v>
      </c>
      <c r="T114" s="1229">
        <v>54</v>
      </c>
      <c r="U114" s="1229">
        <v>108</v>
      </c>
      <c r="V114" s="1229">
        <v>72</v>
      </c>
      <c r="W114" s="1229">
        <v>54</v>
      </c>
      <c r="X114" s="1229"/>
      <c r="Y114" s="1229">
        <v>108</v>
      </c>
      <c r="Z114" s="1229">
        <v>54</v>
      </c>
      <c r="AA114" s="997">
        <f t="shared" si="10"/>
        <v>990</v>
      </c>
      <c r="AB114" s="767"/>
      <c r="AC114" s="997">
        <f t="shared" si="11"/>
        <v>0</v>
      </c>
    </row>
    <row r="115" spans="1:29">
      <c r="A115" s="1287" t="s">
        <v>1972</v>
      </c>
      <c r="B115" s="1288" t="s">
        <v>808</v>
      </c>
      <c r="C115" s="1289"/>
      <c r="D115" s="1290" t="s">
        <v>236</v>
      </c>
      <c r="E115" s="1130">
        <v>54</v>
      </c>
      <c r="F115" s="1229"/>
      <c r="G115" s="1229">
        <v>54</v>
      </c>
      <c r="H115" s="1229">
        <v>54</v>
      </c>
      <c r="I115" s="1229">
        <f>54+108</f>
        <v>162</v>
      </c>
      <c r="J115" s="1229"/>
      <c r="K115" s="1229">
        <v>54</v>
      </c>
      <c r="L115" s="1229"/>
      <c r="M115" s="1229"/>
      <c r="N115" s="1229"/>
      <c r="O115" s="1229">
        <v>54</v>
      </c>
      <c r="P115" s="1229"/>
      <c r="Q115" s="1229"/>
      <c r="R115" s="1229"/>
      <c r="S115" s="1229">
        <f>54+54</f>
        <v>108</v>
      </c>
      <c r="T115" s="1229">
        <v>54</v>
      </c>
      <c r="U115" s="1229">
        <v>108</v>
      </c>
      <c r="V115" s="1229">
        <v>72</v>
      </c>
      <c r="W115" s="1229">
        <v>54</v>
      </c>
      <c r="X115" s="1229"/>
      <c r="Y115" s="1229">
        <v>108</v>
      </c>
      <c r="Z115" s="1229">
        <v>54</v>
      </c>
      <c r="AA115" s="997">
        <f t="shared" si="10"/>
        <v>990</v>
      </c>
      <c r="AB115" s="767"/>
      <c r="AC115" s="997">
        <f t="shared" si="11"/>
        <v>0</v>
      </c>
    </row>
    <row r="116" spans="1:29">
      <c r="A116" s="1287" t="s">
        <v>1973</v>
      </c>
      <c r="B116" s="1288" t="s">
        <v>810</v>
      </c>
      <c r="C116" s="1289"/>
      <c r="D116" s="1290" t="s">
        <v>18</v>
      </c>
      <c r="E116" s="1130">
        <v>1</v>
      </c>
      <c r="F116" s="1229"/>
      <c r="G116" s="1229">
        <v>1</v>
      </c>
      <c r="H116" s="1229">
        <v>1</v>
      </c>
      <c r="I116" s="1229">
        <f>1+2</f>
        <v>3</v>
      </c>
      <c r="J116" s="1229"/>
      <c r="K116" s="1229">
        <v>1</v>
      </c>
      <c r="L116" s="1229"/>
      <c r="M116" s="1229"/>
      <c r="N116" s="1229"/>
      <c r="O116" s="1229">
        <v>1</v>
      </c>
      <c r="P116" s="1229"/>
      <c r="Q116" s="1229"/>
      <c r="R116" s="1229"/>
      <c r="S116" s="1229">
        <f>2+1</f>
        <v>3</v>
      </c>
      <c r="T116" s="1229">
        <v>1</v>
      </c>
      <c r="U116" s="1229">
        <v>2</v>
      </c>
      <c r="V116" s="1229">
        <v>2</v>
      </c>
      <c r="W116" s="1229">
        <v>1</v>
      </c>
      <c r="X116" s="1229"/>
      <c r="Y116" s="1229">
        <v>2</v>
      </c>
      <c r="Z116" s="1229">
        <v>1</v>
      </c>
      <c r="AA116" s="997">
        <f t="shared" si="10"/>
        <v>20</v>
      </c>
      <c r="AB116" s="767"/>
      <c r="AC116" s="997">
        <f t="shared" si="11"/>
        <v>0</v>
      </c>
    </row>
    <row r="117" spans="1:29">
      <c r="A117" s="1287" t="s">
        <v>1974</v>
      </c>
      <c r="B117" s="1288" t="s">
        <v>811</v>
      </c>
      <c r="C117" s="1289"/>
      <c r="D117" s="1290"/>
      <c r="E117" s="1291"/>
      <c r="F117" s="1242"/>
      <c r="G117" s="1242"/>
      <c r="H117" s="1242"/>
      <c r="I117" s="1229"/>
      <c r="J117" s="1242"/>
      <c r="K117" s="1242"/>
      <c r="L117" s="1242"/>
      <c r="M117" s="1242"/>
      <c r="N117" s="1242"/>
      <c r="O117" s="1242"/>
      <c r="P117" s="1242"/>
      <c r="Q117" s="1242"/>
      <c r="R117" s="1242"/>
      <c r="S117" s="1229"/>
      <c r="T117" s="1242"/>
      <c r="U117" s="1229"/>
      <c r="V117" s="1242"/>
      <c r="W117" s="1242"/>
      <c r="X117" s="1242"/>
      <c r="Y117" s="1242"/>
      <c r="Z117" s="1229"/>
      <c r="AA117" s="997"/>
      <c r="AB117" s="997"/>
      <c r="AC117" s="997"/>
    </row>
    <row r="118" spans="1:29">
      <c r="A118" s="1292" t="s">
        <v>1975</v>
      </c>
      <c r="B118" s="1293" t="s">
        <v>2586</v>
      </c>
      <c r="C118" s="1289"/>
      <c r="D118" s="1290" t="s">
        <v>11</v>
      </c>
      <c r="E118" s="1130"/>
      <c r="F118" s="1242"/>
      <c r="G118" s="1242"/>
      <c r="H118" s="1242"/>
      <c r="I118" s="1229">
        <v>18</v>
      </c>
      <c r="J118" s="1242"/>
      <c r="K118" s="1229">
        <v>13</v>
      </c>
      <c r="L118" s="1242"/>
      <c r="M118" s="1242"/>
      <c r="N118" s="1242"/>
      <c r="O118" s="1242"/>
      <c r="P118" s="1242"/>
      <c r="Q118" s="1242"/>
      <c r="R118" s="1242"/>
      <c r="S118" s="1229">
        <v>18</v>
      </c>
      <c r="T118" s="1229">
        <v>10</v>
      </c>
      <c r="U118" s="1229">
        <v>12</v>
      </c>
      <c r="V118" s="1242"/>
      <c r="W118" s="1242"/>
      <c r="X118" s="1242"/>
      <c r="Y118" s="1242"/>
      <c r="Z118" s="1229">
        <v>8</v>
      </c>
      <c r="AA118" s="997">
        <f t="shared" si="10"/>
        <v>79</v>
      </c>
      <c r="AB118" s="767"/>
      <c r="AC118" s="997">
        <f t="shared" si="11"/>
        <v>0</v>
      </c>
    </row>
    <row r="119" spans="1:29">
      <c r="A119" s="1292" t="s">
        <v>1976</v>
      </c>
      <c r="B119" s="1293" t="s">
        <v>2587</v>
      </c>
      <c r="C119" s="1289"/>
      <c r="D119" s="1290" t="s">
        <v>11</v>
      </c>
      <c r="E119" s="1130"/>
      <c r="F119" s="1229"/>
      <c r="G119" s="1229"/>
      <c r="H119" s="1229"/>
      <c r="I119" s="1229"/>
      <c r="J119" s="1229"/>
      <c r="K119" s="1229"/>
      <c r="L119" s="1229"/>
      <c r="M119" s="1229"/>
      <c r="N119" s="1229"/>
      <c r="O119" s="1229"/>
      <c r="P119" s="1229"/>
      <c r="Q119" s="1229"/>
      <c r="R119" s="1229"/>
      <c r="S119" s="1229">
        <v>10</v>
      </c>
      <c r="T119" s="1229"/>
      <c r="U119" s="1229"/>
      <c r="V119" s="1229">
        <f>7+10</f>
        <v>17</v>
      </c>
      <c r="W119" s="1229">
        <v>8</v>
      </c>
      <c r="X119" s="1229"/>
      <c r="Y119" s="1229">
        <f>8+8</f>
        <v>16</v>
      </c>
      <c r="Z119" s="1229"/>
      <c r="AA119" s="997">
        <f t="shared" si="10"/>
        <v>51</v>
      </c>
      <c r="AB119" s="767"/>
      <c r="AC119" s="997">
        <f t="shared" si="11"/>
        <v>0</v>
      </c>
    </row>
    <row r="120" spans="1:29">
      <c r="A120" s="1292" t="s">
        <v>1977</v>
      </c>
      <c r="B120" s="1293" t="s">
        <v>1062</v>
      </c>
      <c r="C120" s="1289"/>
      <c r="D120" s="1290" t="s">
        <v>11</v>
      </c>
      <c r="E120" s="1130">
        <v>20</v>
      </c>
      <c r="F120" s="1242"/>
      <c r="G120" s="1229">
        <v>12</v>
      </c>
      <c r="H120" s="1242"/>
      <c r="I120" s="1229">
        <f>17.5+9</f>
        <v>26.5</v>
      </c>
      <c r="J120" s="1242"/>
      <c r="K120" s="1242"/>
      <c r="L120" s="1242"/>
      <c r="M120" s="1242"/>
      <c r="N120" s="1242"/>
      <c r="O120" s="1229">
        <v>9</v>
      </c>
      <c r="P120" s="1242"/>
      <c r="Q120" s="1242"/>
      <c r="R120" s="1242"/>
      <c r="S120" s="1229"/>
      <c r="T120" s="1229"/>
      <c r="U120" s="1229"/>
      <c r="V120" s="1242"/>
      <c r="W120" s="1242"/>
      <c r="X120" s="1242"/>
      <c r="Y120" s="1242"/>
      <c r="Z120" s="1229"/>
      <c r="AA120" s="997">
        <f t="shared" si="10"/>
        <v>67.5</v>
      </c>
      <c r="AB120" s="767"/>
      <c r="AC120" s="997">
        <f t="shared" si="11"/>
        <v>0</v>
      </c>
    </row>
    <row r="121" spans="1:29">
      <c r="A121" s="1292" t="s">
        <v>1978</v>
      </c>
      <c r="B121" s="1293" t="s">
        <v>816</v>
      </c>
      <c r="C121" s="1289"/>
      <c r="D121" s="1290" t="s">
        <v>11</v>
      </c>
      <c r="E121" s="1130"/>
      <c r="F121" s="1242"/>
      <c r="G121" s="1229"/>
      <c r="H121" s="1229">
        <f>8+8</f>
        <v>16</v>
      </c>
      <c r="I121" s="1229"/>
      <c r="J121" s="1242"/>
      <c r="K121" s="1242"/>
      <c r="L121" s="1242"/>
      <c r="M121" s="1242"/>
      <c r="N121" s="1242"/>
      <c r="O121" s="1229"/>
      <c r="P121" s="1242"/>
      <c r="Q121" s="1242"/>
      <c r="R121" s="1242"/>
      <c r="S121" s="1229"/>
      <c r="T121" s="1229"/>
      <c r="U121" s="1229"/>
      <c r="V121" s="1242"/>
      <c r="W121" s="1242"/>
      <c r="X121" s="1242"/>
      <c r="Y121" s="1242"/>
      <c r="Z121" s="1229"/>
      <c r="AA121" s="997">
        <f t="shared" si="10"/>
        <v>16</v>
      </c>
      <c r="AB121" s="767"/>
      <c r="AC121" s="997">
        <f t="shared" si="11"/>
        <v>0</v>
      </c>
    </row>
    <row r="122" spans="1:29">
      <c r="A122" s="1287" t="s">
        <v>1979</v>
      </c>
      <c r="B122" s="1288" t="s">
        <v>797</v>
      </c>
      <c r="C122" s="1289"/>
      <c r="D122" s="1290"/>
      <c r="E122" s="1294"/>
      <c r="F122" s="1295"/>
      <c r="G122" s="1295"/>
      <c r="H122" s="1295"/>
      <c r="I122" s="1229"/>
      <c r="J122" s="1242"/>
      <c r="K122" s="1242"/>
      <c r="L122" s="1242"/>
      <c r="M122" s="1242"/>
      <c r="N122" s="1242"/>
      <c r="O122" s="1229"/>
      <c r="P122" s="1242"/>
      <c r="Q122" s="1242"/>
      <c r="R122" s="1242"/>
      <c r="S122" s="1229"/>
      <c r="T122" s="1229"/>
      <c r="U122" s="1229"/>
      <c r="V122" s="1242"/>
      <c r="W122" s="1242"/>
      <c r="X122" s="1242"/>
      <c r="Y122" s="1242"/>
      <c r="Z122" s="1229"/>
      <c r="AA122" s="997"/>
      <c r="AB122" s="997"/>
      <c r="AC122" s="997"/>
    </row>
    <row r="123" spans="1:29">
      <c r="A123" s="1292" t="s">
        <v>1980</v>
      </c>
      <c r="B123" s="1293" t="s">
        <v>2331</v>
      </c>
      <c r="C123" s="1289"/>
      <c r="D123" s="1290" t="s">
        <v>18</v>
      </c>
      <c r="E123" s="1296"/>
      <c r="F123" s="1295"/>
      <c r="G123" s="1295"/>
      <c r="H123" s="1295"/>
      <c r="I123" s="1229">
        <v>10</v>
      </c>
      <c r="J123" s="1242"/>
      <c r="K123" s="1229">
        <v>7</v>
      </c>
      <c r="L123" s="1242"/>
      <c r="M123" s="1242"/>
      <c r="N123" s="1242"/>
      <c r="O123" s="1229"/>
      <c r="P123" s="1242"/>
      <c r="Q123" s="1242"/>
      <c r="R123" s="1242"/>
      <c r="S123" s="1229">
        <v>11</v>
      </c>
      <c r="T123" s="1229">
        <v>6</v>
      </c>
      <c r="U123" s="1229">
        <v>8</v>
      </c>
      <c r="V123" s="1242"/>
      <c r="W123" s="1242"/>
      <c r="X123" s="1242"/>
      <c r="Y123" s="1242"/>
      <c r="Z123" s="1229">
        <v>5</v>
      </c>
      <c r="AA123" s="997">
        <f t="shared" si="10"/>
        <v>47</v>
      </c>
      <c r="AB123" s="767"/>
      <c r="AC123" s="997">
        <f t="shared" si="11"/>
        <v>0</v>
      </c>
    </row>
    <row r="124" spans="1:29">
      <c r="A124" s="1292" t="s">
        <v>1981</v>
      </c>
      <c r="B124" s="1293" t="s">
        <v>2332</v>
      </c>
      <c r="C124" s="1289"/>
      <c r="D124" s="1290" t="s">
        <v>18</v>
      </c>
      <c r="E124" s="1296"/>
      <c r="F124" s="1297"/>
      <c r="G124" s="1297"/>
      <c r="H124" s="1297"/>
      <c r="I124" s="1229"/>
      <c r="J124" s="1229"/>
      <c r="K124" s="1229"/>
      <c r="L124" s="1229"/>
      <c r="M124" s="1229"/>
      <c r="N124" s="1229"/>
      <c r="O124" s="1229"/>
      <c r="P124" s="1229"/>
      <c r="Q124" s="1229"/>
      <c r="R124" s="1229"/>
      <c r="S124" s="1229">
        <v>6</v>
      </c>
      <c r="T124" s="1229"/>
      <c r="U124" s="1229"/>
      <c r="V124" s="1229">
        <v>9</v>
      </c>
      <c r="W124" s="1229">
        <v>5</v>
      </c>
      <c r="X124" s="1229"/>
      <c r="Y124" s="1229">
        <f>10</f>
        <v>10</v>
      </c>
      <c r="Z124" s="1229"/>
      <c r="AA124" s="997">
        <f t="shared" si="10"/>
        <v>30</v>
      </c>
      <c r="AB124" s="767"/>
      <c r="AC124" s="997">
        <f t="shared" si="11"/>
        <v>0</v>
      </c>
    </row>
    <row r="125" spans="1:29">
      <c r="A125" s="1292" t="s">
        <v>1982</v>
      </c>
      <c r="B125" s="1293" t="s">
        <v>1063</v>
      </c>
      <c r="C125" s="1289"/>
      <c r="D125" s="1290" t="s">
        <v>18</v>
      </c>
      <c r="E125" s="1296">
        <v>11</v>
      </c>
      <c r="F125" s="1297"/>
      <c r="G125" s="1297">
        <v>7</v>
      </c>
      <c r="H125" s="1297"/>
      <c r="I125" s="1229">
        <v>15</v>
      </c>
      <c r="J125" s="1229"/>
      <c r="K125" s="1229"/>
      <c r="L125" s="1229"/>
      <c r="M125" s="1229"/>
      <c r="N125" s="1229"/>
      <c r="O125" s="1229">
        <v>5</v>
      </c>
      <c r="P125" s="1229"/>
      <c r="Q125" s="1229"/>
      <c r="R125" s="1229"/>
      <c r="S125" s="1229"/>
      <c r="T125" s="1229"/>
      <c r="U125" s="1229"/>
      <c r="V125" s="1229"/>
      <c r="W125" s="1229"/>
      <c r="X125" s="1229"/>
      <c r="Y125" s="1229"/>
      <c r="Z125" s="1229"/>
      <c r="AA125" s="997">
        <f t="shared" si="10"/>
        <v>38</v>
      </c>
      <c r="AB125" s="767"/>
      <c r="AC125" s="997">
        <f t="shared" si="11"/>
        <v>0</v>
      </c>
    </row>
    <row r="126" spans="1:29">
      <c r="A126" s="1287" t="s">
        <v>1983</v>
      </c>
      <c r="B126" s="1288" t="s">
        <v>798</v>
      </c>
      <c r="C126" s="1289"/>
      <c r="D126" s="1290"/>
      <c r="E126" s="1294"/>
      <c r="F126" s="1295"/>
      <c r="G126" s="1295"/>
      <c r="H126" s="1295"/>
      <c r="I126" s="1229"/>
      <c r="J126" s="1242"/>
      <c r="K126" s="1242"/>
      <c r="L126" s="1242"/>
      <c r="M126" s="1242"/>
      <c r="N126" s="1242"/>
      <c r="O126" s="1229"/>
      <c r="P126" s="1242"/>
      <c r="Q126" s="1242"/>
      <c r="R126" s="1242"/>
      <c r="S126" s="1229"/>
      <c r="T126" s="1229"/>
      <c r="U126" s="1229"/>
      <c r="V126" s="1242"/>
      <c r="W126" s="1242"/>
      <c r="X126" s="1242"/>
      <c r="Y126" s="1242"/>
      <c r="Z126" s="1229"/>
      <c r="AA126" s="997"/>
      <c r="AB126" s="997"/>
      <c r="AC126" s="997"/>
    </row>
    <row r="127" spans="1:29">
      <c r="A127" s="1292" t="s">
        <v>1984</v>
      </c>
      <c r="B127" s="1293" t="s">
        <v>2588</v>
      </c>
      <c r="C127" s="1289"/>
      <c r="D127" s="1290" t="s">
        <v>18</v>
      </c>
      <c r="E127" s="1296"/>
      <c r="F127" s="1295"/>
      <c r="G127" s="1295"/>
      <c r="H127" s="1295"/>
      <c r="I127" s="1229">
        <v>2</v>
      </c>
      <c r="J127" s="1242"/>
      <c r="K127" s="1229">
        <v>2</v>
      </c>
      <c r="L127" s="1242"/>
      <c r="M127" s="1242"/>
      <c r="N127" s="1242"/>
      <c r="O127" s="1229"/>
      <c r="P127" s="1242"/>
      <c r="Q127" s="1242"/>
      <c r="R127" s="1242"/>
      <c r="S127" s="1229">
        <v>4</v>
      </c>
      <c r="T127" s="1229">
        <v>2</v>
      </c>
      <c r="U127" s="1229">
        <v>4</v>
      </c>
      <c r="V127" s="1242"/>
      <c r="W127" s="1242"/>
      <c r="X127" s="1242"/>
      <c r="Y127" s="1242"/>
      <c r="Z127" s="1229">
        <v>2</v>
      </c>
      <c r="AA127" s="997">
        <f t="shared" si="10"/>
        <v>16</v>
      </c>
      <c r="AB127" s="767"/>
      <c r="AC127" s="997">
        <f t="shared" si="11"/>
        <v>0</v>
      </c>
    </row>
    <row r="128" spans="1:29">
      <c r="A128" s="1292" t="s">
        <v>1985</v>
      </c>
      <c r="B128" s="1293" t="s">
        <v>2589</v>
      </c>
      <c r="C128" s="1289"/>
      <c r="D128" s="1290" t="s">
        <v>18</v>
      </c>
      <c r="E128" s="1296"/>
      <c r="F128" s="1297"/>
      <c r="G128" s="1297"/>
      <c r="H128" s="1297"/>
      <c r="I128" s="1229"/>
      <c r="J128" s="1229"/>
      <c r="K128" s="1229"/>
      <c r="L128" s="1229"/>
      <c r="M128" s="1229"/>
      <c r="N128" s="1229"/>
      <c r="O128" s="1229"/>
      <c r="P128" s="1229"/>
      <c r="Q128" s="1229"/>
      <c r="R128" s="1229"/>
      <c r="S128" s="1229">
        <v>2</v>
      </c>
      <c r="T128" s="1229"/>
      <c r="U128" s="1229"/>
      <c r="V128" s="1229">
        <v>4</v>
      </c>
      <c r="W128" s="1229">
        <v>2</v>
      </c>
      <c r="X128" s="1229"/>
      <c r="Y128" s="1229">
        <v>4</v>
      </c>
      <c r="Z128" s="1229"/>
      <c r="AA128" s="997">
        <f t="shared" si="10"/>
        <v>12</v>
      </c>
      <c r="AB128" s="767"/>
      <c r="AC128" s="997">
        <f t="shared" si="11"/>
        <v>0</v>
      </c>
    </row>
    <row r="129" spans="1:31">
      <c r="A129" s="1292" t="s">
        <v>1986</v>
      </c>
      <c r="B129" s="1293" t="s">
        <v>1064</v>
      </c>
      <c r="C129" s="1289"/>
      <c r="D129" s="1290" t="s">
        <v>18</v>
      </c>
      <c r="E129" s="1296">
        <v>2</v>
      </c>
      <c r="F129" s="1295"/>
      <c r="G129" s="1297">
        <v>2</v>
      </c>
      <c r="H129" s="1295"/>
      <c r="I129" s="1229">
        <v>4</v>
      </c>
      <c r="J129" s="1242"/>
      <c r="K129" s="1242"/>
      <c r="L129" s="1242"/>
      <c r="M129" s="1242"/>
      <c r="N129" s="1242"/>
      <c r="O129" s="1229">
        <v>2</v>
      </c>
      <c r="P129" s="1242"/>
      <c r="Q129" s="1242"/>
      <c r="R129" s="1242"/>
      <c r="S129" s="1242"/>
      <c r="T129" s="1242"/>
      <c r="U129" s="1242"/>
      <c r="V129" s="1242"/>
      <c r="W129" s="1242"/>
      <c r="X129" s="1242"/>
      <c r="Y129" s="1242"/>
      <c r="Z129" s="1229"/>
      <c r="AA129" s="997">
        <f t="shared" si="10"/>
        <v>10</v>
      </c>
      <c r="AB129" s="767"/>
      <c r="AC129" s="997">
        <f t="shared" si="11"/>
        <v>0</v>
      </c>
    </row>
    <row r="130" spans="1:31">
      <c r="A130" s="1292" t="s">
        <v>1987</v>
      </c>
      <c r="B130" s="1293" t="s">
        <v>851</v>
      </c>
      <c r="C130" s="1289"/>
      <c r="D130" s="1290" t="s">
        <v>18</v>
      </c>
      <c r="E130" s="1296"/>
      <c r="F130" s="1295"/>
      <c r="G130" s="1297"/>
      <c r="H130" s="1297">
        <v>4</v>
      </c>
      <c r="I130" s="1229"/>
      <c r="J130" s="1242"/>
      <c r="K130" s="1242"/>
      <c r="L130" s="1242"/>
      <c r="M130" s="1242"/>
      <c r="N130" s="1242"/>
      <c r="O130" s="1229"/>
      <c r="P130" s="1242"/>
      <c r="Q130" s="1242"/>
      <c r="R130" s="1242"/>
      <c r="S130" s="1242"/>
      <c r="T130" s="1242"/>
      <c r="U130" s="1242"/>
      <c r="V130" s="1242"/>
      <c r="W130" s="1242"/>
      <c r="X130" s="1242"/>
      <c r="Y130" s="1242"/>
      <c r="Z130" s="1229"/>
      <c r="AA130" s="997">
        <f t="shared" si="10"/>
        <v>4</v>
      </c>
      <c r="AB130" s="767"/>
      <c r="AC130" s="997">
        <f t="shared" si="11"/>
        <v>0</v>
      </c>
    </row>
    <row r="131" spans="1:31">
      <c r="A131" s="1287" t="s">
        <v>1988</v>
      </c>
      <c r="B131" s="1288" t="s">
        <v>802</v>
      </c>
      <c r="C131" s="1289"/>
      <c r="D131" s="1290"/>
      <c r="E131" s="1294"/>
      <c r="F131" s="1295"/>
      <c r="G131" s="1295"/>
      <c r="H131" s="1295"/>
      <c r="I131" s="1242"/>
      <c r="J131" s="1242"/>
      <c r="K131" s="1242"/>
      <c r="L131" s="1242"/>
      <c r="M131" s="1242"/>
      <c r="N131" s="1242"/>
      <c r="O131" s="1242"/>
      <c r="P131" s="1242"/>
      <c r="Q131" s="1242"/>
      <c r="R131" s="1242"/>
      <c r="S131" s="1242"/>
      <c r="T131" s="1242"/>
      <c r="U131" s="1242"/>
      <c r="V131" s="1242"/>
      <c r="W131" s="1242"/>
      <c r="X131" s="1242"/>
      <c r="Y131" s="1242"/>
      <c r="Z131" s="1229"/>
      <c r="AA131" s="997"/>
      <c r="AB131" s="997"/>
      <c r="AC131" s="997"/>
    </row>
    <row r="132" spans="1:31">
      <c r="A132" s="1292" t="s">
        <v>1989</v>
      </c>
      <c r="B132" s="1293" t="s">
        <v>818</v>
      </c>
      <c r="C132" s="1289"/>
      <c r="D132" s="1290" t="s">
        <v>18</v>
      </c>
      <c r="E132" s="1296"/>
      <c r="F132" s="1295"/>
      <c r="G132" s="1295"/>
      <c r="H132" s="1297">
        <v>10</v>
      </c>
      <c r="I132" s="1242"/>
      <c r="J132" s="1242"/>
      <c r="K132" s="1242"/>
      <c r="L132" s="1242"/>
      <c r="M132" s="1242"/>
      <c r="N132" s="1242"/>
      <c r="O132" s="1242"/>
      <c r="P132" s="1242"/>
      <c r="Q132" s="1242"/>
      <c r="R132" s="1242"/>
      <c r="S132" s="1242"/>
      <c r="T132" s="1242"/>
      <c r="U132" s="1242"/>
      <c r="V132" s="1242"/>
      <c r="W132" s="1242"/>
      <c r="X132" s="1242"/>
      <c r="Y132" s="1242"/>
      <c r="Z132" s="1229"/>
      <c r="AA132" s="997">
        <f t="shared" si="10"/>
        <v>10</v>
      </c>
      <c r="AB132" s="767"/>
      <c r="AC132" s="997">
        <f t="shared" si="11"/>
        <v>0</v>
      </c>
    </row>
    <row r="133" spans="1:31" s="1379" customFormat="1">
      <c r="A133" s="1454" t="s">
        <v>2594</v>
      </c>
      <c r="B133" s="1455" t="s">
        <v>2595</v>
      </c>
      <c r="C133" s="1456"/>
      <c r="D133" s="1457"/>
      <c r="E133" s="1458"/>
      <c r="F133" s="1458"/>
      <c r="G133" s="1458"/>
      <c r="H133" s="1458"/>
      <c r="I133" s="1458"/>
      <c r="J133" s="1458"/>
      <c r="K133" s="1458"/>
      <c r="L133" s="1458"/>
      <c r="M133" s="1458"/>
      <c r="N133" s="1458"/>
      <c r="O133" s="1458"/>
      <c r="P133" s="1458"/>
      <c r="Q133" s="1458"/>
      <c r="R133" s="1458"/>
      <c r="S133" s="1458"/>
      <c r="T133" s="1458"/>
      <c r="U133" s="1458"/>
      <c r="V133" s="1458"/>
      <c r="W133" s="1458"/>
      <c r="X133" s="1458"/>
      <c r="Y133" s="1458"/>
      <c r="Z133" s="1458"/>
      <c r="AA133" s="1459"/>
      <c r="AB133" s="1460"/>
      <c r="AC133" s="1460">
        <f>SUM(AC134:AC184)</f>
        <v>0</v>
      </c>
    </row>
    <row r="134" spans="1:31" s="1379" customFormat="1">
      <c r="A134" s="1470" t="s">
        <v>2676</v>
      </c>
      <c r="B134" s="1461" t="s">
        <v>2596</v>
      </c>
      <c r="C134" s="1461"/>
      <c r="D134" s="1449" t="s">
        <v>18</v>
      </c>
      <c r="E134" s="1462">
        <v>2</v>
      </c>
      <c r="F134" s="1450">
        <v>2</v>
      </c>
      <c r="G134" s="1463"/>
      <c r="H134" s="1450"/>
      <c r="I134" s="1463"/>
      <c r="J134" s="1450"/>
      <c r="K134" s="1463"/>
      <c r="L134" s="1463"/>
      <c r="M134" s="1463"/>
      <c r="N134" s="1450"/>
      <c r="O134" s="1463"/>
      <c r="P134" s="1450"/>
      <c r="Q134" s="1450"/>
      <c r="R134" s="1450"/>
      <c r="S134" s="1463"/>
      <c r="T134" s="1462"/>
      <c r="U134" s="1463"/>
      <c r="V134" s="1450"/>
      <c r="W134" s="1450"/>
      <c r="X134" s="1450"/>
      <c r="Y134" s="1450"/>
      <c r="Z134" s="1450"/>
      <c r="AA134" s="1452">
        <f t="shared" ref="AA134:AA184" si="14">SUM(E134:Z134)</f>
        <v>4</v>
      </c>
      <c r="AB134" s="1360"/>
      <c r="AC134" s="1403">
        <f t="shared" ref="AC134" si="15">AA134*AB134</f>
        <v>0</v>
      </c>
      <c r="AD134" s="1464"/>
      <c r="AE134" s="1461"/>
    </row>
    <row r="135" spans="1:31" s="1379" customFormat="1">
      <c r="A135" s="1470" t="s">
        <v>2677</v>
      </c>
      <c r="B135" s="1461" t="s">
        <v>2597</v>
      </c>
      <c r="C135" s="1461"/>
      <c r="D135" s="1449"/>
      <c r="E135" s="1462"/>
      <c r="F135" s="1450"/>
      <c r="G135" s="1463"/>
      <c r="H135" s="1450"/>
      <c r="I135" s="1450">
        <v>2</v>
      </c>
      <c r="J135" s="1450"/>
      <c r="K135" s="1463"/>
      <c r="L135" s="1463"/>
      <c r="M135" s="1463"/>
      <c r="N135" s="1450"/>
      <c r="O135" s="1463"/>
      <c r="P135" s="1450"/>
      <c r="Q135" s="1450"/>
      <c r="R135" s="1450"/>
      <c r="S135" s="1463"/>
      <c r="T135" s="1462"/>
      <c r="U135" s="1463"/>
      <c r="V135" s="1450"/>
      <c r="W135" s="1450"/>
      <c r="X135" s="1450"/>
      <c r="Y135" s="1450"/>
      <c r="Z135" s="1450"/>
      <c r="AA135" s="1452">
        <f t="shared" si="14"/>
        <v>2</v>
      </c>
      <c r="AB135" s="1360"/>
      <c r="AC135" s="1403">
        <f t="shared" ref="AC135:AC184" si="16">AA135*AB135</f>
        <v>0</v>
      </c>
      <c r="AD135" s="1464"/>
      <c r="AE135" s="1461"/>
    </row>
    <row r="136" spans="1:31" s="1379" customFormat="1">
      <c r="A136" s="1470" t="s">
        <v>2678</v>
      </c>
      <c r="B136" s="1461" t="s">
        <v>2598</v>
      </c>
      <c r="C136" s="1461"/>
      <c r="D136" s="1449"/>
      <c r="E136" s="1462"/>
      <c r="F136" s="1450"/>
      <c r="G136" s="1463"/>
      <c r="H136" s="1450"/>
      <c r="I136" s="1450"/>
      <c r="J136" s="1450">
        <v>2</v>
      </c>
      <c r="K136" s="1450"/>
      <c r="L136" s="1463"/>
      <c r="M136" s="1463"/>
      <c r="N136" s="1450"/>
      <c r="O136" s="1462">
        <v>2</v>
      </c>
      <c r="P136" s="1450"/>
      <c r="Q136" s="1450"/>
      <c r="R136" s="1450"/>
      <c r="S136" s="1463"/>
      <c r="T136" s="1462"/>
      <c r="U136" s="1450"/>
      <c r="V136" s="1450"/>
      <c r="W136" s="1450">
        <v>2</v>
      </c>
      <c r="X136" s="1450"/>
      <c r="Y136" s="1450"/>
      <c r="Z136" s="1450"/>
      <c r="AA136" s="1452">
        <f t="shared" si="14"/>
        <v>6</v>
      </c>
      <c r="AB136" s="1360"/>
      <c r="AC136" s="1403">
        <f t="shared" si="16"/>
        <v>0</v>
      </c>
      <c r="AD136" s="1464"/>
      <c r="AE136" s="1461"/>
    </row>
    <row r="137" spans="1:31" s="1379" customFormat="1">
      <c r="A137" s="1470" t="s">
        <v>2679</v>
      </c>
      <c r="B137" s="1461" t="s">
        <v>2599</v>
      </c>
      <c r="C137" s="1461"/>
      <c r="D137" s="1449"/>
      <c r="E137" s="1462"/>
      <c r="F137" s="1450">
        <v>2</v>
      </c>
      <c r="G137" s="1463"/>
      <c r="H137" s="1450"/>
      <c r="I137" s="1450"/>
      <c r="J137" s="1450"/>
      <c r="K137" s="1450"/>
      <c r="L137" s="1463"/>
      <c r="M137" s="1463"/>
      <c r="N137" s="1450"/>
      <c r="O137" s="1462"/>
      <c r="P137" s="1450"/>
      <c r="Q137" s="1450"/>
      <c r="R137" s="1450"/>
      <c r="S137" s="1463"/>
      <c r="T137" s="1462"/>
      <c r="U137" s="1450"/>
      <c r="V137" s="1450"/>
      <c r="W137" s="1450"/>
      <c r="X137" s="1450"/>
      <c r="Y137" s="1450"/>
      <c r="Z137" s="1450"/>
      <c r="AA137" s="1452">
        <f t="shared" si="14"/>
        <v>2</v>
      </c>
      <c r="AB137" s="1360"/>
      <c r="AC137" s="1403">
        <f t="shared" si="16"/>
        <v>0</v>
      </c>
      <c r="AD137" s="1464"/>
      <c r="AE137" s="1461"/>
    </row>
    <row r="138" spans="1:31" s="1379" customFormat="1">
      <c r="A138" s="1470" t="s">
        <v>2680</v>
      </c>
      <c r="B138" s="1461" t="s">
        <v>2600</v>
      </c>
      <c r="C138" s="1461"/>
      <c r="D138" s="1449"/>
      <c r="E138" s="1462"/>
      <c r="F138" s="1450">
        <v>2</v>
      </c>
      <c r="G138" s="1463"/>
      <c r="H138" s="1450"/>
      <c r="I138" s="1450"/>
      <c r="J138" s="1450"/>
      <c r="K138" s="1450"/>
      <c r="L138" s="1463"/>
      <c r="M138" s="1463"/>
      <c r="N138" s="1450"/>
      <c r="O138" s="1462"/>
      <c r="P138" s="1450"/>
      <c r="Q138" s="1450"/>
      <c r="R138" s="1450"/>
      <c r="S138" s="1463"/>
      <c r="T138" s="1462"/>
      <c r="U138" s="1450"/>
      <c r="V138" s="1450"/>
      <c r="W138" s="1450"/>
      <c r="X138" s="1450"/>
      <c r="Y138" s="1450"/>
      <c r="Z138" s="1450"/>
      <c r="AA138" s="1452">
        <f t="shared" si="14"/>
        <v>2</v>
      </c>
      <c r="AB138" s="1360"/>
      <c r="AC138" s="1403">
        <f t="shared" si="16"/>
        <v>0</v>
      </c>
      <c r="AD138" s="1464"/>
      <c r="AE138" s="1461"/>
    </row>
    <row r="139" spans="1:31" s="1379" customFormat="1">
      <c r="A139" s="1470" t="s">
        <v>2681</v>
      </c>
      <c r="B139" s="1461" t="s">
        <v>2601</v>
      </c>
      <c r="C139" s="1461"/>
      <c r="D139" s="1449"/>
      <c r="E139" s="1462"/>
      <c r="F139" s="1450"/>
      <c r="G139" s="1463"/>
      <c r="H139" s="1450"/>
      <c r="I139" s="1450">
        <v>2</v>
      </c>
      <c r="J139" s="1450"/>
      <c r="K139" s="1450"/>
      <c r="L139" s="1463"/>
      <c r="M139" s="1463"/>
      <c r="N139" s="1450"/>
      <c r="O139" s="1462"/>
      <c r="P139" s="1450"/>
      <c r="Q139" s="1450"/>
      <c r="R139" s="1450"/>
      <c r="S139" s="1463"/>
      <c r="T139" s="1462"/>
      <c r="U139" s="1450"/>
      <c r="V139" s="1450"/>
      <c r="W139" s="1450"/>
      <c r="X139" s="1450">
        <v>2</v>
      </c>
      <c r="Y139" s="1450">
        <v>2</v>
      </c>
      <c r="Z139" s="1450"/>
      <c r="AA139" s="1452">
        <f t="shared" si="14"/>
        <v>6</v>
      </c>
      <c r="AB139" s="1360"/>
      <c r="AC139" s="1403">
        <f t="shared" si="16"/>
        <v>0</v>
      </c>
      <c r="AD139" s="1464"/>
      <c r="AE139" s="1461"/>
    </row>
    <row r="140" spans="1:31" s="1379" customFormat="1">
      <c r="A140" s="1470" t="s">
        <v>2682</v>
      </c>
      <c r="B140" s="1461" t="s">
        <v>2602</v>
      </c>
      <c r="C140" s="1461"/>
      <c r="D140" s="1449"/>
      <c r="E140" s="1462"/>
      <c r="F140" s="1450">
        <v>2</v>
      </c>
      <c r="G140" s="1463"/>
      <c r="H140" s="1450"/>
      <c r="I140" s="1450">
        <v>2</v>
      </c>
      <c r="J140" s="1450"/>
      <c r="K140" s="1450"/>
      <c r="L140" s="1463"/>
      <c r="M140" s="1463"/>
      <c r="N140" s="1450"/>
      <c r="O140" s="1462"/>
      <c r="P140" s="1450"/>
      <c r="Q140" s="1450"/>
      <c r="R140" s="1450"/>
      <c r="S140" s="1463"/>
      <c r="T140" s="1462"/>
      <c r="U140" s="1450"/>
      <c r="V140" s="1450"/>
      <c r="W140" s="1450"/>
      <c r="X140" s="1450">
        <v>2</v>
      </c>
      <c r="Y140" s="1450">
        <v>2</v>
      </c>
      <c r="Z140" s="1450"/>
      <c r="AA140" s="1452">
        <f t="shared" si="14"/>
        <v>8</v>
      </c>
      <c r="AB140" s="1360"/>
      <c r="AC140" s="1403">
        <f t="shared" si="16"/>
        <v>0</v>
      </c>
      <c r="AD140" s="1464"/>
      <c r="AE140" s="1461"/>
    </row>
    <row r="141" spans="1:31" s="1379" customFormat="1">
      <c r="A141" s="1470" t="s">
        <v>2683</v>
      </c>
      <c r="B141" s="1461" t="s">
        <v>2603</v>
      </c>
      <c r="C141" s="1461"/>
      <c r="D141" s="1449"/>
      <c r="E141" s="1462"/>
      <c r="F141" s="1450"/>
      <c r="G141" s="1463"/>
      <c r="H141" s="1450"/>
      <c r="I141" s="1450">
        <v>2</v>
      </c>
      <c r="J141" s="1450"/>
      <c r="K141" s="1450"/>
      <c r="L141" s="1463"/>
      <c r="M141" s="1463"/>
      <c r="N141" s="1450"/>
      <c r="O141" s="1462"/>
      <c r="P141" s="1450"/>
      <c r="Q141" s="1450"/>
      <c r="R141" s="1450"/>
      <c r="S141" s="1463"/>
      <c r="T141" s="1462"/>
      <c r="U141" s="1450"/>
      <c r="V141" s="1450"/>
      <c r="W141" s="1450"/>
      <c r="X141" s="1450">
        <v>2</v>
      </c>
      <c r="Y141" s="1450">
        <v>2</v>
      </c>
      <c r="Z141" s="1450"/>
      <c r="AA141" s="1452">
        <f t="shared" si="14"/>
        <v>6</v>
      </c>
      <c r="AB141" s="1360"/>
      <c r="AC141" s="1403">
        <f t="shared" si="16"/>
        <v>0</v>
      </c>
      <c r="AD141" s="1464"/>
      <c r="AE141" s="1461"/>
    </row>
    <row r="142" spans="1:31" s="1379" customFormat="1">
      <c r="A142" s="1470" t="s">
        <v>2684</v>
      </c>
      <c r="B142" s="1461" t="s">
        <v>2604</v>
      </c>
      <c r="C142" s="1461"/>
      <c r="D142" s="1449"/>
      <c r="E142" s="1462"/>
      <c r="F142" s="1450">
        <v>2</v>
      </c>
      <c r="G142" s="1463"/>
      <c r="H142" s="1450"/>
      <c r="I142" s="1450">
        <v>2</v>
      </c>
      <c r="J142" s="1450"/>
      <c r="K142" s="1450"/>
      <c r="L142" s="1463"/>
      <c r="M142" s="1463"/>
      <c r="N142" s="1450"/>
      <c r="O142" s="1462"/>
      <c r="P142" s="1450"/>
      <c r="Q142" s="1450"/>
      <c r="R142" s="1450"/>
      <c r="S142" s="1463"/>
      <c r="T142" s="1462"/>
      <c r="U142" s="1450"/>
      <c r="V142" s="1450"/>
      <c r="W142" s="1450"/>
      <c r="X142" s="1450">
        <v>2</v>
      </c>
      <c r="Y142" s="1450">
        <v>4</v>
      </c>
      <c r="Z142" s="1450"/>
      <c r="AA142" s="1452">
        <f t="shared" si="14"/>
        <v>10</v>
      </c>
      <c r="AB142" s="1360"/>
      <c r="AC142" s="1403">
        <f t="shared" si="16"/>
        <v>0</v>
      </c>
      <c r="AD142" s="1464"/>
      <c r="AE142" s="1461"/>
    </row>
    <row r="143" spans="1:31" s="1379" customFormat="1">
      <c r="A143" s="1470" t="s">
        <v>2685</v>
      </c>
      <c r="B143" s="1461" t="s">
        <v>2605</v>
      </c>
      <c r="C143" s="1461"/>
      <c r="D143" s="1449"/>
      <c r="E143" s="1462"/>
      <c r="F143" s="1450"/>
      <c r="G143" s="1463"/>
      <c r="H143" s="1450"/>
      <c r="I143" s="1450">
        <v>2</v>
      </c>
      <c r="J143" s="1450"/>
      <c r="K143" s="1450"/>
      <c r="L143" s="1463"/>
      <c r="M143" s="1463"/>
      <c r="N143" s="1450"/>
      <c r="O143" s="1462"/>
      <c r="P143" s="1450"/>
      <c r="Q143" s="1450"/>
      <c r="R143" s="1450"/>
      <c r="S143" s="1463"/>
      <c r="T143" s="1462"/>
      <c r="U143" s="1450"/>
      <c r="V143" s="1450"/>
      <c r="W143" s="1450"/>
      <c r="X143" s="1450">
        <v>2</v>
      </c>
      <c r="Y143" s="1450">
        <v>2</v>
      </c>
      <c r="Z143" s="1450"/>
      <c r="AA143" s="1452">
        <f t="shared" si="14"/>
        <v>6</v>
      </c>
      <c r="AB143" s="1360"/>
      <c r="AC143" s="1403">
        <f t="shared" si="16"/>
        <v>0</v>
      </c>
      <c r="AD143" s="1464"/>
      <c r="AE143" s="1461"/>
    </row>
    <row r="144" spans="1:31" s="1379" customFormat="1">
      <c r="A144" s="1470" t="s">
        <v>2686</v>
      </c>
      <c r="B144" s="1461" t="s">
        <v>2606</v>
      </c>
      <c r="C144" s="1461"/>
      <c r="D144" s="1449"/>
      <c r="E144" s="1462"/>
      <c r="F144" s="1450"/>
      <c r="G144" s="1463"/>
      <c r="H144" s="1450"/>
      <c r="I144" s="1450">
        <v>2</v>
      </c>
      <c r="J144" s="1450"/>
      <c r="K144" s="1450"/>
      <c r="L144" s="1463"/>
      <c r="M144" s="1463"/>
      <c r="N144" s="1450"/>
      <c r="O144" s="1462"/>
      <c r="P144" s="1450"/>
      <c r="Q144" s="1450"/>
      <c r="R144" s="1450"/>
      <c r="S144" s="1463"/>
      <c r="T144" s="1462"/>
      <c r="U144" s="1450"/>
      <c r="V144" s="1450"/>
      <c r="W144" s="1450"/>
      <c r="X144" s="1450"/>
      <c r="Y144" s="1450"/>
      <c r="Z144" s="1450"/>
      <c r="AA144" s="1452">
        <f t="shared" si="14"/>
        <v>2</v>
      </c>
      <c r="AB144" s="1360"/>
      <c r="AC144" s="1403">
        <f t="shared" si="16"/>
        <v>0</v>
      </c>
      <c r="AD144" s="1464"/>
      <c r="AE144" s="1461"/>
    </row>
    <row r="145" spans="1:31" s="1379" customFormat="1">
      <c r="A145" s="1470" t="s">
        <v>2687</v>
      </c>
      <c r="B145" s="1461" t="s">
        <v>2607</v>
      </c>
      <c r="C145" s="1461"/>
      <c r="D145" s="1449"/>
      <c r="E145" s="1462"/>
      <c r="F145" s="1450">
        <v>2</v>
      </c>
      <c r="G145" s="1463"/>
      <c r="H145" s="1450"/>
      <c r="I145" s="1450"/>
      <c r="J145" s="1450"/>
      <c r="K145" s="1450"/>
      <c r="L145" s="1463"/>
      <c r="M145" s="1463"/>
      <c r="N145" s="1450"/>
      <c r="O145" s="1462"/>
      <c r="P145" s="1450"/>
      <c r="Q145" s="1450"/>
      <c r="R145" s="1450"/>
      <c r="S145" s="1463"/>
      <c r="T145" s="1462"/>
      <c r="U145" s="1450"/>
      <c r="V145" s="1450"/>
      <c r="W145" s="1450"/>
      <c r="X145" s="1450"/>
      <c r="Y145" s="1450"/>
      <c r="Z145" s="1450"/>
      <c r="AA145" s="1452">
        <f t="shared" si="14"/>
        <v>2</v>
      </c>
      <c r="AB145" s="1360"/>
      <c r="AC145" s="1403">
        <f t="shared" si="16"/>
        <v>0</v>
      </c>
      <c r="AD145" s="1464"/>
      <c r="AE145" s="1461"/>
    </row>
    <row r="146" spans="1:31" s="1379" customFormat="1">
      <c r="A146" s="1470" t="s">
        <v>2688</v>
      </c>
      <c r="B146" s="1461" t="s">
        <v>2608</v>
      </c>
      <c r="C146" s="1461"/>
      <c r="D146" s="1449"/>
      <c r="E146" s="1462"/>
      <c r="F146" s="1450"/>
      <c r="G146" s="1463"/>
      <c r="H146" s="1450"/>
      <c r="I146" s="1450"/>
      <c r="J146" s="1450"/>
      <c r="K146" s="1450"/>
      <c r="L146" s="1463"/>
      <c r="M146" s="1463"/>
      <c r="N146" s="1450"/>
      <c r="O146" s="1462"/>
      <c r="P146" s="1450"/>
      <c r="Q146" s="1450"/>
      <c r="R146" s="1450"/>
      <c r="S146" s="1463"/>
      <c r="T146" s="1462"/>
      <c r="U146" s="1450">
        <v>1</v>
      </c>
      <c r="V146" s="1450"/>
      <c r="W146" s="1450"/>
      <c r="X146" s="1450"/>
      <c r="Y146" s="1450"/>
      <c r="Z146" s="1450"/>
      <c r="AA146" s="1452">
        <f t="shared" si="14"/>
        <v>1</v>
      </c>
      <c r="AB146" s="1360"/>
      <c r="AC146" s="1403">
        <f t="shared" si="16"/>
        <v>0</v>
      </c>
      <c r="AD146" s="1464"/>
      <c r="AE146" s="1461"/>
    </row>
    <row r="147" spans="1:31" s="1379" customFormat="1">
      <c r="A147" s="1470" t="s">
        <v>2689</v>
      </c>
      <c r="B147" s="1461" t="s">
        <v>2609</v>
      </c>
      <c r="C147" s="1461"/>
      <c r="D147" s="1449"/>
      <c r="E147" s="1462"/>
      <c r="F147" s="1450"/>
      <c r="G147" s="1463"/>
      <c r="H147" s="1450">
        <v>2</v>
      </c>
      <c r="I147" s="1450"/>
      <c r="J147" s="1450"/>
      <c r="K147" s="1450"/>
      <c r="L147" s="1463"/>
      <c r="M147" s="1463"/>
      <c r="N147" s="1450"/>
      <c r="O147" s="1462"/>
      <c r="P147" s="1450"/>
      <c r="Q147" s="1450"/>
      <c r="R147" s="1450"/>
      <c r="S147" s="1463"/>
      <c r="T147" s="1462"/>
      <c r="U147" s="1450">
        <v>1</v>
      </c>
      <c r="V147" s="1450">
        <v>4</v>
      </c>
      <c r="W147" s="1450">
        <v>2</v>
      </c>
      <c r="X147" s="1450"/>
      <c r="Y147" s="1450"/>
      <c r="Z147" s="1450"/>
      <c r="AA147" s="1452">
        <f t="shared" si="14"/>
        <v>9</v>
      </c>
      <c r="AB147" s="1360"/>
      <c r="AC147" s="1403">
        <f t="shared" si="16"/>
        <v>0</v>
      </c>
      <c r="AD147" s="1464"/>
      <c r="AE147" s="1461"/>
    </row>
    <row r="148" spans="1:31" s="1379" customFormat="1">
      <c r="A148" s="1470" t="s">
        <v>2690</v>
      </c>
      <c r="B148" s="1461" t="s">
        <v>2610</v>
      </c>
      <c r="C148" s="1461"/>
      <c r="D148" s="1449"/>
      <c r="E148" s="1462"/>
      <c r="F148" s="1450"/>
      <c r="G148" s="1463"/>
      <c r="H148" s="1450"/>
      <c r="I148" s="1450"/>
      <c r="J148" s="1450"/>
      <c r="K148" s="1450"/>
      <c r="L148" s="1463"/>
      <c r="M148" s="1463"/>
      <c r="N148" s="1450">
        <v>2</v>
      </c>
      <c r="O148" s="1462"/>
      <c r="P148" s="1450"/>
      <c r="Q148" s="1450"/>
      <c r="R148" s="1450"/>
      <c r="S148" s="1450">
        <v>2</v>
      </c>
      <c r="T148" s="1462">
        <v>2</v>
      </c>
      <c r="U148" s="1450"/>
      <c r="V148" s="1450"/>
      <c r="W148" s="1450"/>
      <c r="X148" s="1450">
        <v>4</v>
      </c>
      <c r="Y148" s="1450">
        <v>4</v>
      </c>
      <c r="Z148" s="1450">
        <v>2</v>
      </c>
      <c r="AA148" s="1452">
        <f t="shared" si="14"/>
        <v>16</v>
      </c>
      <c r="AB148" s="1360"/>
      <c r="AC148" s="1403">
        <f t="shared" si="16"/>
        <v>0</v>
      </c>
      <c r="AD148" s="1464"/>
      <c r="AE148" s="1461"/>
    </row>
    <row r="149" spans="1:31" s="1379" customFormat="1">
      <c r="A149" s="1470" t="s">
        <v>2691</v>
      </c>
      <c r="B149" s="1461" t="s">
        <v>2611</v>
      </c>
      <c r="C149" s="1461"/>
      <c r="D149" s="1449"/>
      <c r="E149" s="1462"/>
      <c r="F149" s="1450"/>
      <c r="G149" s="1463"/>
      <c r="H149" s="1450"/>
      <c r="I149" s="1450">
        <v>4</v>
      </c>
      <c r="J149" s="1450"/>
      <c r="K149" s="1450"/>
      <c r="L149" s="1463"/>
      <c r="M149" s="1463"/>
      <c r="N149" s="1450"/>
      <c r="O149" s="1462"/>
      <c r="P149" s="1450">
        <v>4</v>
      </c>
      <c r="Q149" s="1450"/>
      <c r="R149" s="1450">
        <v>2</v>
      </c>
      <c r="S149" s="1450"/>
      <c r="T149" s="1462"/>
      <c r="U149" s="1450"/>
      <c r="V149" s="1450"/>
      <c r="W149" s="1450"/>
      <c r="X149" s="1450"/>
      <c r="Y149" s="1450"/>
      <c r="Z149" s="1450"/>
      <c r="AA149" s="1452">
        <f t="shared" si="14"/>
        <v>10</v>
      </c>
      <c r="AB149" s="1360"/>
      <c r="AC149" s="1403">
        <f t="shared" si="16"/>
        <v>0</v>
      </c>
      <c r="AD149" s="1464"/>
      <c r="AE149" s="1461"/>
    </row>
    <row r="150" spans="1:31" s="1379" customFormat="1">
      <c r="A150" s="1470" t="s">
        <v>2692</v>
      </c>
      <c r="B150" s="1461" t="s">
        <v>2612</v>
      </c>
      <c r="C150" s="1461"/>
      <c r="D150" s="1449"/>
      <c r="E150" s="1462"/>
      <c r="F150" s="1450"/>
      <c r="G150" s="1463"/>
      <c r="H150" s="1450"/>
      <c r="I150" s="1450"/>
      <c r="J150" s="1450">
        <v>15</v>
      </c>
      <c r="K150" s="1450"/>
      <c r="L150" s="1463"/>
      <c r="M150" s="1463"/>
      <c r="N150" s="1450"/>
      <c r="O150" s="1462"/>
      <c r="P150" s="1450"/>
      <c r="Q150" s="1450"/>
      <c r="R150" s="1450"/>
      <c r="S150" s="1450"/>
      <c r="T150" s="1462"/>
      <c r="U150" s="1450"/>
      <c r="V150" s="1450"/>
      <c r="W150" s="1450"/>
      <c r="X150" s="1450"/>
      <c r="Y150" s="1450"/>
      <c r="Z150" s="1450"/>
      <c r="AA150" s="1452">
        <f t="shared" si="14"/>
        <v>15</v>
      </c>
      <c r="AB150" s="1360"/>
      <c r="AC150" s="1403">
        <f t="shared" si="16"/>
        <v>0</v>
      </c>
      <c r="AD150" s="1464"/>
      <c r="AE150" s="1461"/>
    </row>
    <row r="151" spans="1:31" s="1379" customFormat="1">
      <c r="A151" s="1470" t="s">
        <v>2693</v>
      </c>
      <c r="B151" s="1461" t="s">
        <v>2613</v>
      </c>
      <c r="C151" s="1461"/>
      <c r="D151" s="1449"/>
      <c r="E151" s="1462"/>
      <c r="F151" s="1450"/>
      <c r="G151" s="1463"/>
      <c r="H151" s="1450"/>
      <c r="I151" s="1450"/>
      <c r="J151" s="1450"/>
      <c r="K151" s="1450">
        <v>15</v>
      </c>
      <c r="L151" s="1463"/>
      <c r="M151" s="1463"/>
      <c r="N151" s="1450"/>
      <c r="O151" s="1462"/>
      <c r="P151" s="1450"/>
      <c r="Q151" s="1450"/>
      <c r="R151" s="1450"/>
      <c r="S151" s="1450"/>
      <c r="T151" s="1462"/>
      <c r="U151" s="1450"/>
      <c r="V151" s="1450"/>
      <c r="W151" s="1450"/>
      <c r="X151" s="1450"/>
      <c r="Y151" s="1450"/>
      <c r="Z151" s="1450"/>
      <c r="AA151" s="1452">
        <f t="shared" si="14"/>
        <v>15</v>
      </c>
      <c r="AB151" s="1360"/>
      <c r="AC151" s="1403">
        <f t="shared" si="16"/>
        <v>0</v>
      </c>
      <c r="AD151" s="1464"/>
      <c r="AE151" s="1461"/>
    </row>
    <row r="152" spans="1:31" s="1379" customFormat="1">
      <c r="A152" s="1470" t="s">
        <v>2694</v>
      </c>
      <c r="B152" s="1461" t="s">
        <v>2614</v>
      </c>
      <c r="C152" s="1461"/>
      <c r="D152" s="1449"/>
      <c r="E152" s="1462"/>
      <c r="F152" s="1450"/>
      <c r="G152" s="1463"/>
      <c r="H152" s="1450"/>
      <c r="I152" s="1450"/>
      <c r="J152" s="1450"/>
      <c r="K152" s="1450"/>
      <c r="L152" s="1463"/>
      <c r="M152" s="1463"/>
      <c r="N152" s="1450"/>
      <c r="O152" s="1462"/>
      <c r="P152" s="1450"/>
      <c r="Q152" s="1450"/>
      <c r="R152" s="1450"/>
      <c r="S152" s="1450"/>
      <c r="T152" s="1462"/>
      <c r="U152" s="1450"/>
      <c r="V152" s="1450"/>
      <c r="W152" s="1450"/>
      <c r="X152" s="1450">
        <v>7</v>
      </c>
      <c r="Y152" s="1450">
        <v>10</v>
      </c>
      <c r="Z152" s="1450"/>
      <c r="AA152" s="1452">
        <f t="shared" si="14"/>
        <v>17</v>
      </c>
      <c r="AB152" s="1360"/>
      <c r="AC152" s="1403">
        <f t="shared" si="16"/>
        <v>0</v>
      </c>
      <c r="AD152" s="1464"/>
      <c r="AE152" s="1461"/>
    </row>
    <row r="153" spans="1:31" s="1379" customFormat="1">
      <c r="A153" s="1470" t="s">
        <v>2695</v>
      </c>
      <c r="B153" s="1461" t="s">
        <v>2615</v>
      </c>
      <c r="C153" s="1461"/>
      <c r="D153" s="1449" t="s">
        <v>18</v>
      </c>
      <c r="E153" s="1462">
        <v>2</v>
      </c>
      <c r="F153" s="1450">
        <v>4</v>
      </c>
      <c r="G153" s="1463"/>
      <c r="H153" s="1450"/>
      <c r="I153" s="1450"/>
      <c r="J153" s="1450"/>
      <c r="K153" s="1450"/>
      <c r="L153" s="1463"/>
      <c r="M153" s="1463"/>
      <c r="N153" s="1450"/>
      <c r="O153" s="1462"/>
      <c r="P153" s="1450"/>
      <c r="Q153" s="1450"/>
      <c r="R153" s="1450"/>
      <c r="S153" s="1450"/>
      <c r="T153" s="1462"/>
      <c r="U153" s="1450"/>
      <c r="V153" s="1450"/>
      <c r="W153" s="1450"/>
      <c r="X153" s="1450"/>
      <c r="Y153" s="1450"/>
      <c r="Z153" s="1450"/>
      <c r="AA153" s="1452">
        <f t="shared" si="14"/>
        <v>6</v>
      </c>
      <c r="AB153" s="1360"/>
      <c r="AC153" s="1403">
        <f t="shared" si="16"/>
        <v>0</v>
      </c>
      <c r="AD153" s="1464"/>
      <c r="AE153" s="1461"/>
    </row>
    <row r="154" spans="1:31" s="1379" customFormat="1">
      <c r="A154" s="1470" t="s">
        <v>2696</v>
      </c>
      <c r="B154" s="1461" t="s">
        <v>2616</v>
      </c>
      <c r="C154" s="1461"/>
      <c r="D154" s="1449"/>
      <c r="E154" s="1462"/>
      <c r="F154" s="1450"/>
      <c r="G154" s="1463"/>
      <c r="H154" s="1450"/>
      <c r="I154" s="1450"/>
      <c r="J154" s="1450"/>
      <c r="K154" s="1450"/>
      <c r="L154" s="1463"/>
      <c r="M154" s="1463"/>
      <c r="N154" s="1450"/>
      <c r="O154" s="1462"/>
      <c r="P154" s="1450"/>
      <c r="Q154" s="1450"/>
      <c r="R154" s="1450"/>
      <c r="S154" s="1450"/>
      <c r="T154" s="1462"/>
      <c r="U154" s="1450">
        <v>1</v>
      </c>
      <c r="V154" s="1450"/>
      <c r="W154" s="1450"/>
      <c r="X154" s="1450"/>
      <c r="Y154" s="1450"/>
      <c r="Z154" s="1450"/>
      <c r="AA154" s="1452">
        <f t="shared" si="14"/>
        <v>1</v>
      </c>
      <c r="AB154" s="1360"/>
      <c r="AC154" s="1403">
        <f t="shared" si="16"/>
        <v>0</v>
      </c>
    </row>
    <row r="155" spans="1:31" s="1379" customFormat="1">
      <c r="A155" s="1470" t="s">
        <v>2697</v>
      </c>
      <c r="B155" s="1461" t="s">
        <v>2617</v>
      </c>
      <c r="C155" s="1461"/>
      <c r="D155" s="1449"/>
      <c r="E155" s="1462"/>
      <c r="F155" s="1450"/>
      <c r="G155" s="1463"/>
      <c r="H155" s="1450">
        <v>2</v>
      </c>
      <c r="I155" s="1450"/>
      <c r="J155" s="1450"/>
      <c r="K155" s="1450"/>
      <c r="L155" s="1463"/>
      <c r="M155" s="1463"/>
      <c r="N155" s="1450"/>
      <c r="O155" s="1462"/>
      <c r="P155" s="1450"/>
      <c r="Q155" s="1450"/>
      <c r="R155" s="1450"/>
      <c r="S155" s="1450"/>
      <c r="T155" s="1462"/>
      <c r="U155" s="1450">
        <v>1</v>
      </c>
      <c r="V155" s="1450">
        <v>4</v>
      </c>
      <c r="W155" s="1450">
        <v>2</v>
      </c>
      <c r="X155" s="1450"/>
      <c r="Y155" s="1450"/>
      <c r="Z155" s="1450"/>
      <c r="AA155" s="1452">
        <f t="shared" si="14"/>
        <v>9</v>
      </c>
      <c r="AB155" s="1360"/>
      <c r="AC155" s="1403">
        <f t="shared" si="16"/>
        <v>0</v>
      </c>
    </row>
    <row r="156" spans="1:31" s="1379" customFormat="1">
      <c r="A156" s="1470" t="s">
        <v>2698</v>
      </c>
      <c r="B156" s="1461" t="s">
        <v>2618</v>
      </c>
      <c r="C156" s="1461"/>
      <c r="D156" s="1449"/>
      <c r="E156" s="1462"/>
      <c r="F156" s="1450"/>
      <c r="G156" s="1463"/>
      <c r="H156" s="1450"/>
      <c r="I156" s="1450">
        <v>2</v>
      </c>
      <c r="J156" s="1450"/>
      <c r="K156" s="1450"/>
      <c r="L156" s="1463"/>
      <c r="M156" s="1463"/>
      <c r="N156" s="1450"/>
      <c r="O156" s="1462"/>
      <c r="P156" s="1450"/>
      <c r="Q156" s="1450"/>
      <c r="R156" s="1450"/>
      <c r="S156" s="1450">
        <v>2</v>
      </c>
      <c r="T156" s="1462">
        <v>2</v>
      </c>
      <c r="U156" s="1450"/>
      <c r="V156" s="1450"/>
      <c r="W156" s="1450"/>
      <c r="X156" s="1450">
        <v>4</v>
      </c>
      <c r="Y156" s="1450">
        <v>4</v>
      </c>
      <c r="Z156" s="1450">
        <v>2</v>
      </c>
      <c r="AA156" s="1452">
        <f t="shared" si="14"/>
        <v>16</v>
      </c>
      <c r="AB156" s="1360"/>
      <c r="AC156" s="1403">
        <f t="shared" si="16"/>
        <v>0</v>
      </c>
    </row>
    <row r="157" spans="1:31" s="1379" customFormat="1">
      <c r="A157" s="1470" t="s">
        <v>2699</v>
      </c>
      <c r="B157" s="1461" t="s">
        <v>2619</v>
      </c>
      <c r="C157" s="1461"/>
      <c r="D157" s="1449"/>
      <c r="E157" s="1462"/>
      <c r="F157" s="1450"/>
      <c r="G157" s="1463"/>
      <c r="H157" s="1450"/>
      <c r="I157" s="1450">
        <v>4</v>
      </c>
      <c r="J157" s="1450">
        <v>2</v>
      </c>
      <c r="K157" s="1450"/>
      <c r="L157" s="1463"/>
      <c r="M157" s="1450"/>
      <c r="N157" s="1450">
        <v>2</v>
      </c>
      <c r="O157" s="1462">
        <v>2</v>
      </c>
      <c r="P157" s="1450">
        <v>4</v>
      </c>
      <c r="Q157" s="1450"/>
      <c r="R157" s="1450">
        <v>2</v>
      </c>
      <c r="S157" s="1450"/>
      <c r="T157" s="1462"/>
      <c r="U157" s="1450"/>
      <c r="V157" s="1450"/>
      <c r="W157" s="1450"/>
      <c r="X157" s="1450"/>
      <c r="Y157" s="1450"/>
      <c r="Z157" s="1450"/>
      <c r="AA157" s="1452">
        <f t="shared" si="14"/>
        <v>16</v>
      </c>
      <c r="AB157" s="1360"/>
      <c r="AC157" s="1403">
        <f t="shared" si="16"/>
        <v>0</v>
      </c>
    </row>
    <row r="158" spans="1:31" s="1379" customFormat="1">
      <c r="A158" s="1470" t="s">
        <v>2700</v>
      </c>
      <c r="B158" s="1461" t="s">
        <v>2620</v>
      </c>
      <c r="C158" s="1461"/>
      <c r="D158" s="1449"/>
      <c r="E158" s="1462"/>
      <c r="F158" s="1450"/>
      <c r="G158" s="1463"/>
      <c r="H158" s="1450"/>
      <c r="I158" s="1450"/>
      <c r="J158" s="1450"/>
      <c r="K158" s="1450"/>
      <c r="L158" s="1463"/>
      <c r="M158" s="1450">
        <v>2</v>
      </c>
      <c r="N158" s="1450"/>
      <c r="O158" s="1462"/>
      <c r="P158" s="1450"/>
      <c r="Q158" s="1450"/>
      <c r="R158" s="1450"/>
      <c r="S158" s="1450"/>
      <c r="T158" s="1462"/>
      <c r="U158" s="1450"/>
      <c r="V158" s="1450"/>
      <c r="W158" s="1450"/>
      <c r="X158" s="1450"/>
      <c r="Y158" s="1450"/>
      <c r="Z158" s="1450"/>
      <c r="AA158" s="1452">
        <f t="shared" si="14"/>
        <v>2</v>
      </c>
      <c r="AB158" s="1360"/>
      <c r="AC158" s="1403">
        <f t="shared" si="16"/>
        <v>0</v>
      </c>
    </row>
    <row r="159" spans="1:31" s="1379" customFormat="1">
      <c r="A159" s="1470" t="s">
        <v>2701</v>
      </c>
      <c r="B159" s="1461" t="s">
        <v>2621</v>
      </c>
      <c r="C159" s="1461"/>
      <c r="D159" s="1449" t="s">
        <v>18</v>
      </c>
      <c r="E159" s="1462">
        <v>2</v>
      </c>
      <c r="F159" s="1450">
        <v>4</v>
      </c>
      <c r="G159" s="1463"/>
      <c r="H159" s="1450"/>
      <c r="I159" s="1450"/>
      <c r="J159" s="1450"/>
      <c r="K159" s="1450"/>
      <c r="L159" s="1463"/>
      <c r="M159" s="1450"/>
      <c r="N159" s="1450"/>
      <c r="O159" s="1462"/>
      <c r="P159" s="1450"/>
      <c r="Q159" s="1450"/>
      <c r="R159" s="1450"/>
      <c r="S159" s="1450"/>
      <c r="T159" s="1462"/>
      <c r="U159" s="1450"/>
      <c r="V159" s="1450"/>
      <c r="W159" s="1450"/>
      <c r="X159" s="1450"/>
      <c r="Y159" s="1450"/>
      <c r="Z159" s="1450"/>
      <c r="AA159" s="1452">
        <f t="shared" si="14"/>
        <v>6</v>
      </c>
      <c r="AB159" s="1360"/>
      <c r="AC159" s="1403">
        <f t="shared" si="16"/>
        <v>0</v>
      </c>
    </row>
    <row r="160" spans="1:31" s="1379" customFormat="1">
      <c r="A160" s="1470" t="s">
        <v>2702</v>
      </c>
      <c r="B160" s="1461" t="s">
        <v>2622</v>
      </c>
      <c r="C160" s="1461"/>
      <c r="D160" s="1449"/>
      <c r="E160" s="1462"/>
      <c r="F160" s="1450"/>
      <c r="G160" s="1463"/>
      <c r="H160" s="1450"/>
      <c r="I160" s="1450"/>
      <c r="J160" s="1450"/>
      <c r="K160" s="1450"/>
      <c r="L160" s="1463"/>
      <c r="M160" s="1450"/>
      <c r="N160" s="1450"/>
      <c r="O160" s="1462"/>
      <c r="P160" s="1450"/>
      <c r="Q160" s="1450"/>
      <c r="R160" s="1450"/>
      <c r="S160" s="1450"/>
      <c r="T160" s="1462"/>
      <c r="U160" s="1450">
        <v>1</v>
      </c>
      <c r="V160" s="1450"/>
      <c r="W160" s="1450"/>
      <c r="X160" s="1450"/>
      <c r="Y160" s="1450"/>
      <c r="Z160" s="1450"/>
      <c r="AA160" s="1452">
        <f t="shared" si="14"/>
        <v>1</v>
      </c>
      <c r="AB160" s="1360"/>
      <c r="AC160" s="1403">
        <f t="shared" si="16"/>
        <v>0</v>
      </c>
    </row>
    <row r="161" spans="1:29" s="1379" customFormat="1">
      <c r="A161" s="1470" t="s">
        <v>2703</v>
      </c>
      <c r="B161" s="1461" t="s">
        <v>2623</v>
      </c>
      <c r="C161" s="1461"/>
      <c r="D161" s="1449"/>
      <c r="E161" s="1462"/>
      <c r="F161" s="1450"/>
      <c r="G161" s="1463"/>
      <c r="H161" s="1450">
        <v>2</v>
      </c>
      <c r="I161" s="1450"/>
      <c r="J161" s="1450"/>
      <c r="K161" s="1450"/>
      <c r="L161" s="1463"/>
      <c r="M161" s="1450"/>
      <c r="N161" s="1450"/>
      <c r="O161" s="1462"/>
      <c r="P161" s="1450"/>
      <c r="Q161" s="1450"/>
      <c r="R161" s="1450"/>
      <c r="S161" s="1450"/>
      <c r="T161" s="1462"/>
      <c r="U161" s="1450">
        <v>1</v>
      </c>
      <c r="V161" s="1450">
        <v>4</v>
      </c>
      <c r="W161" s="1450">
        <v>2</v>
      </c>
      <c r="X161" s="1450"/>
      <c r="Y161" s="1450"/>
      <c r="Z161" s="1450"/>
      <c r="AA161" s="1452">
        <f t="shared" si="14"/>
        <v>9</v>
      </c>
      <c r="AB161" s="1360"/>
      <c r="AC161" s="1403">
        <f t="shared" si="16"/>
        <v>0</v>
      </c>
    </row>
    <row r="162" spans="1:29" s="1379" customFormat="1">
      <c r="A162" s="1470" t="s">
        <v>2704</v>
      </c>
      <c r="B162" s="1461" t="s">
        <v>2624</v>
      </c>
      <c r="C162" s="1461"/>
      <c r="D162" s="1449"/>
      <c r="E162" s="1462"/>
      <c r="F162" s="1450"/>
      <c r="G162" s="1463"/>
      <c r="H162" s="1450"/>
      <c r="I162" s="1450"/>
      <c r="J162" s="1450"/>
      <c r="K162" s="1450"/>
      <c r="L162" s="1463"/>
      <c r="M162" s="1450"/>
      <c r="N162" s="1450"/>
      <c r="O162" s="1462"/>
      <c r="P162" s="1450"/>
      <c r="Q162" s="1450"/>
      <c r="R162" s="1450"/>
      <c r="S162" s="1450">
        <v>2</v>
      </c>
      <c r="T162" s="1462">
        <v>2</v>
      </c>
      <c r="U162" s="1450"/>
      <c r="V162" s="1450"/>
      <c r="W162" s="1450"/>
      <c r="X162" s="1450">
        <v>2</v>
      </c>
      <c r="Y162" s="1450">
        <v>2</v>
      </c>
      <c r="Z162" s="1450">
        <v>2</v>
      </c>
      <c r="AA162" s="1452">
        <f t="shared" si="14"/>
        <v>10</v>
      </c>
      <c r="AB162" s="1360"/>
      <c r="AC162" s="1403">
        <f t="shared" si="16"/>
        <v>0</v>
      </c>
    </row>
    <row r="163" spans="1:29" s="1379" customFormat="1">
      <c r="A163" s="1470" t="s">
        <v>2705</v>
      </c>
      <c r="B163" s="1461" t="s">
        <v>2625</v>
      </c>
      <c r="C163" s="1461"/>
      <c r="D163" s="1449"/>
      <c r="E163" s="1462"/>
      <c r="F163" s="1450"/>
      <c r="G163" s="1463"/>
      <c r="H163" s="1450"/>
      <c r="I163" s="1450">
        <v>4</v>
      </c>
      <c r="J163" s="1450">
        <v>2</v>
      </c>
      <c r="K163" s="1450"/>
      <c r="L163" s="1463"/>
      <c r="M163" s="1450"/>
      <c r="N163" s="1450">
        <v>2</v>
      </c>
      <c r="O163" s="1462">
        <v>2</v>
      </c>
      <c r="P163" s="1450">
        <v>4</v>
      </c>
      <c r="Q163" s="1450"/>
      <c r="R163" s="1450">
        <v>2</v>
      </c>
      <c r="S163" s="1450"/>
      <c r="T163" s="1462"/>
      <c r="U163" s="1450"/>
      <c r="V163" s="1450"/>
      <c r="W163" s="1450"/>
      <c r="X163" s="1450"/>
      <c r="Y163" s="1450"/>
      <c r="Z163" s="1450"/>
      <c r="AA163" s="1452">
        <f t="shared" si="14"/>
        <v>16</v>
      </c>
      <c r="AB163" s="1360"/>
      <c r="AC163" s="1403">
        <f t="shared" si="16"/>
        <v>0</v>
      </c>
    </row>
    <row r="164" spans="1:29" s="1379" customFormat="1">
      <c r="A164" s="1470" t="s">
        <v>2706</v>
      </c>
      <c r="B164" s="1461" t="s">
        <v>2626</v>
      </c>
      <c r="C164" s="1461"/>
      <c r="D164" s="1449" t="s">
        <v>18</v>
      </c>
      <c r="E164" s="1462">
        <v>2</v>
      </c>
      <c r="F164" s="1450">
        <v>2</v>
      </c>
      <c r="G164" s="1463"/>
      <c r="H164" s="1450">
        <v>2</v>
      </c>
      <c r="I164" s="1450">
        <v>4</v>
      </c>
      <c r="J164" s="1450">
        <v>2</v>
      </c>
      <c r="K164" s="1450"/>
      <c r="L164" s="1463"/>
      <c r="M164" s="1450"/>
      <c r="N164" s="1450">
        <v>2</v>
      </c>
      <c r="O164" s="1462">
        <v>2</v>
      </c>
      <c r="P164" s="1450">
        <v>4</v>
      </c>
      <c r="Q164" s="1450"/>
      <c r="R164" s="1450">
        <v>4</v>
      </c>
      <c r="S164" s="1450">
        <v>2</v>
      </c>
      <c r="T164" s="1462">
        <v>2</v>
      </c>
      <c r="U164" s="1450">
        <v>6</v>
      </c>
      <c r="V164" s="1450">
        <v>4</v>
      </c>
      <c r="W164" s="1450">
        <v>2</v>
      </c>
      <c r="X164" s="1450">
        <v>2</v>
      </c>
      <c r="Y164" s="1450">
        <v>2</v>
      </c>
      <c r="Z164" s="1450">
        <v>2</v>
      </c>
      <c r="AA164" s="1452">
        <f t="shared" si="14"/>
        <v>46</v>
      </c>
      <c r="AB164" s="1360"/>
      <c r="AC164" s="1403">
        <f t="shared" si="16"/>
        <v>0</v>
      </c>
    </row>
    <row r="165" spans="1:29" s="1379" customFormat="1">
      <c r="A165" s="1470" t="s">
        <v>2707</v>
      </c>
      <c r="B165" s="1461" t="s">
        <v>2627</v>
      </c>
      <c r="C165" s="1461"/>
      <c r="D165" s="1449"/>
      <c r="E165" s="1462"/>
      <c r="F165" s="1450"/>
      <c r="G165" s="1463"/>
      <c r="H165" s="1450"/>
      <c r="I165" s="1450">
        <v>48</v>
      </c>
      <c r="J165" s="1450"/>
      <c r="K165" s="1450"/>
      <c r="L165" s="1463"/>
      <c r="M165" s="1450"/>
      <c r="N165" s="1450"/>
      <c r="O165" s="1462"/>
      <c r="P165" s="1450"/>
      <c r="Q165" s="1450"/>
      <c r="R165" s="1450"/>
      <c r="S165" s="1450"/>
      <c r="T165" s="1462"/>
      <c r="U165" s="1450"/>
      <c r="V165" s="1450"/>
      <c r="W165" s="1450"/>
      <c r="X165" s="1450">
        <v>48</v>
      </c>
      <c r="Y165" s="1450">
        <v>48</v>
      </c>
      <c r="Z165" s="1450"/>
      <c r="AA165" s="1452">
        <f t="shared" si="14"/>
        <v>144</v>
      </c>
      <c r="AB165" s="1360"/>
      <c r="AC165" s="1403">
        <f t="shared" si="16"/>
        <v>0</v>
      </c>
    </row>
    <row r="166" spans="1:29" s="1379" customFormat="1">
      <c r="A166" s="1470" t="s">
        <v>2708</v>
      </c>
      <c r="B166" s="1461" t="s">
        <v>2628</v>
      </c>
      <c r="C166" s="1461"/>
      <c r="D166" s="1449" t="s">
        <v>11</v>
      </c>
      <c r="E166" s="1462">
        <v>100</v>
      </c>
      <c r="F166" s="1450">
        <v>100</v>
      </c>
      <c r="G166" s="1463"/>
      <c r="H166" s="1450">
        <v>100</v>
      </c>
      <c r="I166" s="1450">
        <v>100</v>
      </c>
      <c r="J166" s="1450">
        <v>100</v>
      </c>
      <c r="K166" s="1450">
        <v>50</v>
      </c>
      <c r="L166" s="1463"/>
      <c r="M166" s="1462">
        <v>100</v>
      </c>
      <c r="N166" s="1450">
        <v>48</v>
      </c>
      <c r="O166" s="1462">
        <v>100</v>
      </c>
      <c r="P166" s="1450">
        <v>100</v>
      </c>
      <c r="Q166" s="1450"/>
      <c r="R166" s="1450">
        <v>100</v>
      </c>
      <c r="S166" s="1450">
        <v>96</v>
      </c>
      <c r="T166" s="1462">
        <v>60</v>
      </c>
      <c r="U166" s="1450">
        <v>96</v>
      </c>
      <c r="V166" s="1450">
        <v>192</v>
      </c>
      <c r="W166" s="1450">
        <v>100</v>
      </c>
      <c r="X166" s="1450">
        <v>96</v>
      </c>
      <c r="Y166" s="1450">
        <v>192</v>
      </c>
      <c r="Z166" s="1450">
        <v>96</v>
      </c>
      <c r="AA166" s="1452">
        <f t="shared" si="14"/>
        <v>1926</v>
      </c>
      <c r="AB166" s="1360"/>
      <c r="AC166" s="1403">
        <f t="shared" si="16"/>
        <v>0</v>
      </c>
    </row>
    <row r="167" spans="1:29" s="1379" customFormat="1">
      <c r="A167" s="1470" t="s">
        <v>2709</v>
      </c>
      <c r="B167" s="1461" t="s">
        <v>2629</v>
      </c>
      <c r="C167" s="1461"/>
      <c r="D167" s="1449" t="s">
        <v>11</v>
      </c>
      <c r="E167" s="1462">
        <v>80</v>
      </c>
      <c r="F167" s="1450">
        <v>50</v>
      </c>
      <c r="G167" s="1463"/>
      <c r="H167" s="1450">
        <v>100</v>
      </c>
      <c r="I167" s="1450">
        <v>100</v>
      </c>
      <c r="J167" s="1450">
        <v>80</v>
      </c>
      <c r="K167" s="1450">
        <v>50</v>
      </c>
      <c r="L167" s="1463"/>
      <c r="M167" s="1462">
        <v>50</v>
      </c>
      <c r="N167" s="1450">
        <v>30</v>
      </c>
      <c r="O167" s="1462">
        <v>50</v>
      </c>
      <c r="P167" s="1450">
        <v>100</v>
      </c>
      <c r="Q167" s="1450"/>
      <c r="R167" s="1450">
        <v>100</v>
      </c>
      <c r="S167" s="1450">
        <v>80</v>
      </c>
      <c r="T167" s="1462">
        <v>40</v>
      </c>
      <c r="U167" s="1450">
        <v>80</v>
      </c>
      <c r="V167" s="1450">
        <v>120</v>
      </c>
      <c r="W167" s="1450">
        <v>80</v>
      </c>
      <c r="X167" s="1450">
        <v>80</v>
      </c>
      <c r="Y167" s="1450">
        <v>120</v>
      </c>
      <c r="Z167" s="1450">
        <v>80</v>
      </c>
      <c r="AA167" s="1452">
        <f t="shared" si="14"/>
        <v>1470</v>
      </c>
      <c r="AB167" s="1360"/>
      <c r="AC167" s="1403">
        <f t="shared" si="16"/>
        <v>0</v>
      </c>
    </row>
    <row r="168" spans="1:29" s="1379" customFormat="1">
      <c r="A168" s="1470" t="s">
        <v>2710</v>
      </c>
      <c r="B168" s="1461" t="s">
        <v>2630</v>
      </c>
      <c r="C168" s="1461"/>
      <c r="D168" s="1449" t="s">
        <v>11</v>
      </c>
      <c r="E168" s="1462">
        <v>50</v>
      </c>
      <c r="F168" s="1450">
        <v>30</v>
      </c>
      <c r="G168" s="1463"/>
      <c r="H168" s="1450">
        <v>50</v>
      </c>
      <c r="I168" s="1450">
        <v>50</v>
      </c>
      <c r="J168" s="1450">
        <v>80</v>
      </c>
      <c r="K168" s="1450">
        <v>50</v>
      </c>
      <c r="L168" s="1463"/>
      <c r="M168" s="1462">
        <v>50</v>
      </c>
      <c r="N168" s="1450">
        <v>30</v>
      </c>
      <c r="O168" s="1462">
        <v>50</v>
      </c>
      <c r="P168" s="1450">
        <v>60</v>
      </c>
      <c r="Q168" s="1450"/>
      <c r="R168" s="1450">
        <v>60</v>
      </c>
      <c r="S168" s="1450">
        <v>50</v>
      </c>
      <c r="T168" s="1462">
        <v>40</v>
      </c>
      <c r="U168" s="1450">
        <v>50</v>
      </c>
      <c r="V168" s="1450">
        <v>80</v>
      </c>
      <c r="W168" s="1450">
        <v>50</v>
      </c>
      <c r="X168" s="1450">
        <v>50</v>
      </c>
      <c r="Y168" s="1450">
        <v>80</v>
      </c>
      <c r="Z168" s="1450">
        <v>50</v>
      </c>
      <c r="AA168" s="1452">
        <f t="shared" si="14"/>
        <v>1010</v>
      </c>
      <c r="AB168" s="1360"/>
      <c r="AC168" s="1403">
        <f t="shared" si="16"/>
        <v>0</v>
      </c>
    </row>
    <row r="169" spans="1:29" s="1379" customFormat="1">
      <c r="A169" s="1470" t="s">
        <v>2711</v>
      </c>
      <c r="B169" s="1461" t="s">
        <v>2631</v>
      </c>
      <c r="C169" s="1461"/>
      <c r="D169" s="1449" t="s">
        <v>11</v>
      </c>
      <c r="E169" s="1450">
        <v>30</v>
      </c>
      <c r="F169" s="1450">
        <v>20</v>
      </c>
      <c r="G169" s="1463"/>
      <c r="H169" s="1450"/>
      <c r="I169" s="1450"/>
      <c r="J169" s="1450">
        <v>50</v>
      </c>
      <c r="K169" s="1450">
        <v>40</v>
      </c>
      <c r="L169" s="1463"/>
      <c r="M169" s="1462">
        <v>30</v>
      </c>
      <c r="N169" s="1450">
        <v>20</v>
      </c>
      <c r="O169" s="1462">
        <v>30</v>
      </c>
      <c r="P169" s="1450">
        <v>30</v>
      </c>
      <c r="Q169" s="1450"/>
      <c r="R169" s="1450">
        <v>30</v>
      </c>
      <c r="S169" s="1450">
        <v>50</v>
      </c>
      <c r="T169" s="1462">
        <v>30</v>
      </c>
      <c r="U169" s="1450">
        <v>50</v>
      </c>
      <c r="V169" s="1450">
        <v>50</v>
      </c>
      <c r="W169" s="1450">
        <v>30</v>
      </c>
      <c r="X169" s="1450">
        <v>50</v>
      </c>
      <c r="Y169" s="1450">
        <v>50</v>
      </c>
      <c r="Z169" s="1450">
        <v>50</v>
      </c>
      <c r="AA169" s="1452">
        <f t="shared" si="14"/>
        <v>640</v>
      </c>
      <c r="AB169" s="1360"/>
      <c r="AC169" s="1403">
        <f t="shared" si="16"/>
        <v>0</v>
      </c>
    </row>
    <row r="170" spans="1:29" s="1379" customFormat="1">
      <c r="A170" s="1470" t="s">
        <v>2712</v>
      </c>
      <c r="B170" s="1461" t="s">
        <v>2632</v>
      </c>
      <c r="C170" s="1461" t="s">
        <v>2727</v>
      </c>
      <c r="D170" s="1449" t="s">
        <v>18</v>
      </c>
      <c r="E170" s="1450"/>
      <c r="F170" s="1450"/>
      <c r="G170" s="1463"/>
      <c r="H170" s="1450"/>
      <c r="I170" s="1450"/>
      <c r="J170" s="1450"/>
      <c r="K170" s="1450"/>
      <c r="L170" s="1463"/>
      <c r="M170" s="1450">
        <v>2</v>
      </c>
      <c r="N170" s="1450"/>
      <c r="O170" s="1462"/>
      <c r="P170" s="1450"/>
      <c r="Q170" s="1450"/>
      <c r="R170" s="1450"/>
      <c r="S170" s="1450"/>
      <c r="T170" s="1462"/>
      <c r="U170" s="1450"/>
      <c r="V170" s="1450"/>
      <c r="W170" s="1450"/>
      <c r="X170" s="1450"/>
      <c r="Y170" s="1450"/>
      <c r="Z170" s="1450"/>
      <c r="AA170" s="1452">
        <f t="shared" si="14"/>
        <v>2</v>
      </c>
      <c r="AB170" s="1360"/>
      <c r="AC170" s="1403">
        <f t="shared" si="16"/>
        <v>0</v>
      </c>
    </row>
    <row r="171" spans="1:29" s="1379" customFormat="1">
      <c r="A171" s="1470" t="s">
        <v>2713</v>
      </c>
      <c r="B171" s="1461" t="s">
        <v>2633</v>
      </c>
      <c r="C171" s="1461" t="s">
        <v>2727</v>
      </c>
      <c r="D171" s="1449" t="s">
        <v>18</v>
      </c>
      <c r="E171" s="1450"/>
      <c r="F171" s="1450"/>
      <c r="G171" s="1463"/>
      <c r="H171" s="1450"/>
      <c r="I171" s="1450"/>
      <c r="J171" s="1450"/>
      <c r="K171" s="1450"/>
      <c r="L171" s="1463"/>
      <c r="M171" s="1450">
        <v>2</v>
      </c>
      <c r="N171" s="1450"/>
      <c r="O171" s="1462"/>
      <c r="P171" s="1450"/>
      <c r="Q171" s="1450"/>
      <c r="R171" s="1450"/>
      <c r="S171" s="1450"/>
      <c r="T171" s="1462"/>
      <c r="U171" s="1450"/>
      <c r="V171" s="1450"/>
      <c r="W171" s="1450"/>
      <c r="X171" s="1450"/>
      <c r="Y171" s="1450"/>
      <c r="Z171" s="1450"/>
      <c r="AA171" s="1452">
        <f t="shared" si="14"/>
        <v>2</v>
      </c>
      <c r="AB171" s="1360"/>
      <c r="AC171" s="1403">
        <f t="shared" si="16"/>
        <v>0</v>
      </c>
    </row>
    <row r="172" spans="1:29" s="1379" customFormat="1">
      <c r="A172" s="1470" t="s">
        <v>2714</v>
      </c>
      <c r="B172" s="1461" t="s">
        <v>2634</v>
      </c>
      <c r="C172" s="1461" t="s">
        <v>2727</v>
      </c>
      <c r="D172" s="1449" t="s">
        <v>18</v>
      </c>
      <c r="E172" s="1450">
        <v>15</v>
      </c>
      <c r="F172" s="1450">
        <v>8</v>
      </c>
      <c r="G172" s="1463"/>
      <c r="H172" s="1450">
        <v>8</v>
      </c>
      <c r="I172" s="1450">
        <v>10</v>
      </c>
      <c r="J172" s="1450">
        <v>15</v>
      </c>
      <c r="K172" s="1450"/>
      <c r="L172" s="1463"/>
      <c r="M172" s="1450">
        <v>10</v>
      </c>
      <c r="N172" s="1450">
        <v>6</v>
      </c>
      <c r="O172" s="1462">
        <v>15</v>
      </c>
      <c r="P172" s="1450">
        <v>13</v>
      </c>
      <c r="Q172" s="1450"/>
      <c r="R172" s="1450">
        <v>13</v>
      </c>
      <c r="S172" s="1450">
        <v>13</v>
      </c>
      <c r="T172" s="1462">
        <v>6</v>
      </c>
      <c r="U172" s="1450">
        <v>8</v>
      </c>
      <c r="V172" s="1450">
        <v>26</v>
      </c>
      <c r="W172" s="1450">
        <v>5</v>
      </c>
      <c r="X172" s="1450">
        <v>13</v>
      </c>
      <c r="Y172" s="1450">
        <v>26</v>
      </c>
      <c r="Z172" s="1450">
        <v>13</v>
      </c>
      <c r="AA172" s="1452">
        <f t="shared" si="14"/>
        <v>223</v>
      </c>
      <c r="AB172" s="1360"/>
      <c r="AC172" s="1403">
        <f t="shared" si="16"/>
        <v>0</v>
      </c>
    </row>
    <row r="173" spans="1:29" s="1379" customFormat="1">
      <c r="A173" s="1470" t="s">
        <v>2715</v>
      </c>
      <c r="B173" s="1461" t="s">
        <v>2635</v>
      </c>
      <c r="C173" s="1461" t="s">
        <v>2727</v>
      </c>
      <c r="D173" s="1449" t="s">
        <v>18</v>
      </c>
      <c r="E173" s="1450">
        <v>15</v>
      </c>
      <c r="F173" s="1450">
        <v>8</v>
      </c>
      <c r="G173" s="1463"/>
      <c r="H173" s="1450">
        <v>8</v>
      </c>
      <c r="I173" s="1450">
        <v>10</v>
      </c>
      <c r="J173" s="1450">
        <v>15</v>
      </c>
      <c r="K173" s="1450"/>
      <c r="L173" s="1463"/>
      <c r="M173" s="1450">
        <v>10</v>
      </c>
      <c r="N173" s="1450">
        <v>6</v>
      </c>
      <c r="O173" s="1462">
        <v>15</v>
      </c>
      <c r="P173" s="1450">
        <v>13</v>
      </c>
      <c r="Q173" s="1450"/>
      <c r="R173" s="1450">
        <v>13</v>
      </c>
      <c r="S173" s="1450">
        <v>13</v>
      </c>
      <c r="T173" s="1462">
        <v>6</v>
      </c>
      <c r="U173" s="1450">
        <v>8</v>
      </c>
      <c r="V173" s="1450">
        <v>26</v>
      </c>
      <c r="W173" s="1450">
        <v>10</v>
      </c>
      <c r="X173" s="1450">
        <v>13</v>
      </c>
      <c r="Y173" s="1450">
        <v>26</v>
      </c>
      <c r="Z173" s="1450">
        <v>13</v>
      </c>
      <c r="AA173" s="1452">
        <f t="shared" si="14"/>
        <v>228</v>
      </c>
      <c r="AB173" s="1360"/>
      <c r="AC173" s="1403">
        <f t="shared" si="16"/>
        <v>0</v>
      </c>
    </row>
    <row r="174" spans="1:29" s="1379" customFormat="1">
      <c r="A174" s="1470" t="s">
        <v>2716</v>
      </c>
      <c r="B174" s="1461" t="s">
        <v>2636</v>
      </c>
      <c r="C174" s="1461" t="s">
        <v>2727</v>
      </c>
      <c r="D174" s="1449" t="s">
        <v>18</v>
      </c>
      <c r="E174" s="1450"/>
      <c r="F174" s="1450"/>
      <c r="G174" s="1463"/>
      <c r="H174" s="1450"/>
      <c r="I174" s="1450"/>
      <c r="J174" s="1450"/>
      <c r="K174" s="1450"/>
      <c r="L174" s="1463"/>
      <c r="M174" s="1450"/>
      <c r="N174" s="1450"/>
      <c r="O174" s="1462"/>
      <c r="P174" s="1450"/>
      <c r="Q174" s="1450"/>
      <c r="R174" s="1450"/>
      <c r="S174" s="1450"/>
      <c r="T174" s="1462"/>
      <c r="U174" s="1450"/>
      <c r="V174" s="1450"/>
      <c r="W174" s="1450">
        <v>5</v>
      </c>
      <c r="X174" s="1450"/>
      <c r="Y174" s="1450"/>
      <c r="Z174" s="1450"/>
      <c r="AA174" s="1452">
        <f t="shared" si="14"/>
        <v>5</v>
      </c>
      <c r="AB174" s="1360"/>
      <c r="AC174" s="1403">
        <f t="shared" si="16"/>
        <v>0</v>
      </c>
    </row>
    <row r="175" spans="1:29" s="1379" customFormat="1">
      <c r="A175" s="1470" t="s">
        <v>2717</v>
      </c>
      <c r="B175" s="1461" t="s">
        <v>2637</v>
      </c>
      <c r="C175" s="1461" t="s">
        <v>2727</v>
      </c>
      <c r="D175" s="1449" t="s">
        <v>18</v>
      </c>
      <c r="E175" s="1450"/>
      <c r="F175" s="1450"/>
      <c r="G175" s="1463"/>
      <c r="H175" s="1450">
        <v>8</v>
      </c>
      <c r="I175" s="1450">
        <v>10</v>
      </c>
      <c r="J175" s="1450"/>
      <c r="K175" s="1450"/>
      <c r="L175" s="1463"/>
      <c r="M175" s="1450">
        <v>10</v>
      </c>
      <c r="N175" s="1450">
        <v>4</v>
      </c>
      <c r="O175" s="1462"/>
      <c r="P175" s="1450">
        <v>15</v>
      </c>
      <c r="Q175" s="1450"/>
      <c r="R175" s="1450">
        <v>15</v>
      </c>
      <c r="S175" s="1450"/>
      <c r="T175" s="1462"/>
      <c r="U175" s="1450">
        <v>8</v>
      </c>
      <c r="V175" s="1450">
        <v>8</v>
      </c>
      <c r="W175" s="1450"/>
      <c r="X175" s="1450"/>
      <c r="Y175" s="1450"/>
      <c r="Z175" s="1450"/>
      <c r="AA175" s="1452">
        <f t="shared" si="14"/>
        <v>78</v>
      </c>
      <c r="AB175" s="1360"/>
      <c r="AC175" s="1403">
        <f t="shared" si="16"/>
        <v>0</v>
      </c>
    </row>
    <row r="176" spans="1:29" s="1379" customFormat="1">
      <c r="A176" s="1470" t="s">
        <v>2718</v>
      </c>
      <c r="B176" s="1461" t="s">
        <v>2638</v>
      </c>
      <c r="C176" s="1461" t="s">
        <v>2727</v>
      </c>
      <c r="D176" s="1449" t="s">
        <v>18</v>
      </c>
      <c r="E176" s="1450"/>
      <c r="F176" s="1450"/>
      <c r="G176" s="1463"/>
      <c r="H176" s="1450">
        <v>8</v>
      </c>
      <c r="I176" s="1450">
        <v>10</v>
      </c>
      <c r="J176" s="1450"/>
      <c r="K176" s="1450"/>
      <c r="L176" s="1463"/>
      <c r="M176" s="1450">
        <v>10</v>
      </c>
      <c r="N176" s="1450">
        <v>4</v>
      </c>
      <c r="O176" s="1462"/>
      <c r="P176" s="1450">
        <v>15</v>
      </c>
      <c r="Q176" s="1450"/>
      <c r="R176" s="1450">
        <v>15</v>
      </c>
      <c r="S176" s="1450"/>
      <c r="T176" s="1462"/>
      <c r="U176" s="1450">
        <v>8</v>
      </c>
      <c r="V176" s="1450">
        <v>8</v>
      </c>
      <c r="W176" s="1450"/>
      <c r="X176" s="1450"/>
      <c r="Y176" s="1450"/>
      <c r="Z176" s="1450"/>
      <c r="AA176" s="1452">
        <f t="shared" si="14"/>
        <v>78</v>
      </c>
      <c r="AB176" s="1360"/>
      <c r="AC176" s="1403">
        <f t="shared" si="16"/>
        <v>0</v>
      </c>
    </row>
    <row r="177" spans="1:29" s="1379" customFormat="1">
      <c r="A177" s="1470" t="s">
        <v>2719</v>
      </c>
      <c r="B177" s="1461" t="s">
        <v>2639</v>
      </c>
      <c r="C177" s="1461" t="s">
        <v>2727</v>
      </c>
      <c r="D177" s="1449" t="s">
        <v>18</v>
      </c>
      <c r="E177" s="1450">
        <v>15</v>
      </c>
      <c r="F177" s="1450">
        <v>8</v>
      </c>
      <c r="G177" s="1463"/>
      <c r="H177" s="1450">
        <v>8</v>
      </c>
      <c r="I177" s="1450">
        <v>10</v>
      </c>
      <c r="J177" s="1450">
        <v>15</v>
      </c>
      <c r="K177" s="1450"/>
      <c r="L177" s="1463"/>
      <c r="M177" s="1450">
        <v>10</v>
      </c>
      <c r="N177" s="1450">
        <v>6</v>
      </c>
      <c r="O177" s="1462">
        <v>15</v>
      </c>
      <c r="P177" s="1450">
        <v>13</v>
      </c>
      <c r="Q177" s="1450"/>
      <c r="R177" s="1450">
        <v>13</v>
      </c>
      <c r="S177" s="1450">
        <v>8</v>
      </c>
      <c r="T177" s="1462">
        <v>6</v>
      </c>
      <c r="U177" s="1450">
        <v>8</v>
      </c>
      <c r="V177" s="1450">
        <v>16</v>
      </c>
      <c r="W177" s="1450">
        <v>10</v>
      </c>
      <c r="X177" s="1450">
        <v>8</v>
      </c>
      <c r="Y177" s="1450">
        <v>16</v>
      </c>
      <c r="Z177" s="1450">
        <v>8</v>
      </c>
      <c r="AA177" s="1452">
        <f t="shared" si="14"/>
        <v>193</v>
      </c>
      <c r="AB177" s="1360"/>
      <c r="AC177" s="1403">
        <f t="shared" si="16"/>
        <v>0</v>
      </c>
    </row>
    <row r="178" spans="1:29" s="1379" customFormat="1">
      <c r="A178" s="1470" t="s">
        <v>2720</v>
      </c>
      <c r="B178" s="1461" t="s">
        <v>2640</v>
      </c>
      <c r="C178" s="1461" t="s">
        <v>2727</v>
      </c>
      <c r="D178" s="1449" t="s">
        <v>18</v>
      </c>
      <c r="E178" s="1450">
        <v>15</v>
      </c>
      <c r="F178" s="1450">
        <v>8</v>
      </c>
      <c r="G178" s="1463"/>
      <c r="H178" s="1450">
        <v>8</v>
      </c>
      <c r="I178" s="1450">
        <v>10</v>
      </c>
      <c r="J178" s="1450">
        <v>15</v>
      </c>
      <c r="K178" s="1450"/>
      <c r="L178" s="1463"/>
      <c r="M178" s="1450">
        <v>10</v>
      </c>
      <c r="N178" s="1450">
        <v>6</v>
      </c>
      <c r="O178" s="1462">
        <v>15</v>
      </c>
      <c r="P178" s="1450">
        <v>13</v>
      </c>
      <c r="Q178" s="1450"/>
      <c r="R178" s="1450">
        <v>13</v>
      </c>
      <c r="S178" s="1450">
        <v>8</v>
      </c>
      <c r="T178" s="1462">
        <v>6</v>
      </c>
      <c r="U178" s="1450">
        <v>8</v>
      </c>
      <c r="V178" s="1450">
        <v>16</v>
      </c>
      <c r="W178" s="1450">
        <v>10</v>
      </c>
      <c r="X178" s="1450">
        <v>8</v>
      </c>
      <c r="Y178" s="1450">
        <v>16</v>
      </c>
      <c r="Z178" s="1450">
        <v>8</v>
      </c>
      <c r="AA178" s="1452">
        <f t="shared" si="14"/>
        <v>193</v>
      </c>
      <c r="AB178" s="1360"/>
      <c r="AC178" s="1403">
        <f t="shared" si="16"/>
        <v>0</v>
      </c>
    </row>
    <row r="179" spans="1:29" s="1379" customFormat="1">
      <c r="A179" s="1470" t="s">
        <v>2721</v>
      </c>
      <c r="B179" s="1461" t="s">
        <v>2641</v>
      </c>
      <c r="C179" s="1461" t="s">
        <v>2727</v>
      </c>
      <c r="D179" s="1449" t="s">
        <v>18</v>
      </c>
      <c r="E179" s="1450">
        <v>15</v>
      </c>
      <c r="F179" s="1450">
        <v>8</v>
      </c>
      <c r="G179" s="1463"/>
      <c r="H179" s="1450">
        <v>4</v>
      </c>
      <c r="I179" s="1450">
        <v>8</v>
      </c>
      <c r="J179" s="1450">
        <v>15</v>
      </c>
      <c r="K179" s="1450"/>
      <c r="L179" s="1463"/>
      <c r="M179" s="1450">
        <v>10</v>
      </c>
      <c r="N179" s="1450">
        <v>6</v>
      </c>
      <c r="O179" s="1462">
        <v>15</v>
      </c>
      <c r="P179" s="1450">
        <v>13</v>
      </c>
      <c r="Q179" s="1450"/>
      <c r="R179" s="1450">
        <v>13</v>
      </c>
      <c r="S179" s="1450">
        <v>8</v>
      </c>
      <c r="T179" s="1462">
        <v>6</v>
      </c>
      <c r="U179" s="1450">
        <v>8</v>
      </c>
      <c r="V179" s="1450">
        <v>16</v>
      </c>
      <c r="W179" s="1450"/>
      <c r="X179" s="1450">
        <v>8</v>
      </c>
      <c r="Y179" s="1450">
        <v>16</v>
      </c>
      <c r="Z179" s="1450">
        <v>8</v>
      </c>
      <c r="AA179" s="1452">
        <f t="shared" si="14"/>
        <v>177</v>
      </c>
      <c r="AB179" s="1360"/>
      <c r="AC179" s="1403">
        <f t="shared" si="16"/>
        <v>0</v>
      </c>
    </row>
    <row r="180" spans="1:29" s="1379" customFormat="1">
      <c r="A180" s="1470" t="s">
        <v>2722</v>
      </c>
      <c r="B180" s="1465" t="s">
        <v>2642</v>
      </c>
      <c r="C180" s="1461" t="s">
        <v>2727</v>
      </c>
      <c r="D180" s="1466" t="s">
        <v>18</v>
      </c>
      <c r="E180" s="1450">
        <v>15</v>
      </c>
      <c r="F180" s="1467">
        <v>8</v>
      </c>
      <c r="G180" s="1468"/>
      <c r="H180" s="1467">
        <v>4</v>
      </c>
      <c r="I180" s="1467">
        <v>8</v>
      </c>
      <c r="J180" s="1467">
        <v>15</v>
      </c>
      <c r="K180" s="1467"/>
      <c r="L180" s="1468"/>
      <c r="M180" s="1467">
        <v>10</v>
      </c>
      <c r="N180" s="1467">
        <v>6</v>
      </c>
      <c r="O180" s="1469">
        <v>15</v>
      </c>
      <c r="P180" s="1467">
        <v>13</v>
      </c>
      <c r="Q180" s="1467"/>
      <c r="R180" s="1467">
        <v>13</v>
      </c>
      <c r="S180" s="1467">
        <v>8</v>
      </c>
      <c r="T180" s="1469">
        <v>6</v>
      </c>
      <c r="U180" s="1467">
        <v>8</v>
      </c>
      <c r="V180" s="1467">
        <v>16</v>
      </c>
      <c r="W180" s="1467"/>
      <c r="X180" s="1467">
        <v>8</v>
      </c>
      <c r="Y180" s="1467">
        <v>16</v>
      </c>
      <c r="Z180" s="1467">
        <v>8</v>
      </c>
      <c r="AA180" s="1452">
        <f t="shared" si="14"/>
        <v>177</v>
      </c>
      <c r="AB180" s="1360"/>
      <c r="AC180" s="1403">
        <f t="shared" si="16"/>
        <v>0</v>
      </c>
    </row>
    <row r="181" spans="1:29" s="1379" customFormat="1">
      <c r="A181" s="1470" t="s">
        <v>2723</v>
      </c>
      <c r="B181" s="1465" t="s">
        <v>2643</v>
      </c>
      <c r="C181" s="1461" t="s">
        <v>2727</v>
      </c>
      <c r="D181" s="1449" t="s">
        <v>18</v>
      </c>
      <c r="E181" s="1450"/>
      <c r="F181" s="1467"/>
      <c r="G181" s="1468"/>
      <c r="H181" s="1467"/>
      <c r="I181" s="1467"/>
      <c r="J181" s="1467"/>
      <c r="K181" s="1467"/>
      <c r="L181" s="1468"/>
      <c r="M181" s="1467">
        <v>2</v>
      </c>
      <c r="N181" s="1467"/>
      <c r="O181" s="1469"/>
      <c r="P181" s="1467"/>
      <c r="Q181" s="1467"/>
      <c r="R181" s="1467"/>
      <c r="S181" s="1467"/>
      <c r="T181" s="1469"/>
      <c r="U181" s="1467"/>
      <c r="V181" s="1467"/>
      <c r="W181" s="1467"/>
      <c r="X181" s="1467"/>
      <c r="Y181" s="1467"/>
      <c r="Z181" s="1467"/>
      <c r="AA181" s="1452">
        <f t="shared" si="14"/>
        <v>2</v>
      </c>
      <c r="AB181" s="1360"/>
      <c r="AC181" s="1403">
        <f t="shared" si="16"/>
        <v>0</v>
      </c>
    </row>
    <row r="182" spans="1:29" s="1461" customFormat="1">
      <c r="A182" s="1470" t="s">
        <v>2724</v>
      </c>
      <c r="B182" s="1461" t="s">
        <v>2644</v>
      </c>
      <c r="C182" s="1461" t="s">
        <v>2727</v>
      </c>
      <c r="D182" s="1466" t="s">
        <v>18</v>
      </c>
      <c r="E182" s="1450">
        <v>10</v>
      </c>
      <c r="F182" s="1450">
        <v>5</v>
      </c>
      <c r="G182" s="1463"/>
      <c r="H182" s="1450">
        <v>8</v>
      </c>
      <c r="I182" s="1450">
        <v>8</v>
      </c>
      <c r="J182" s="1450">
        <v>10</v>
      </c>
      <c r="K182" s="1450"/>
      <c r="L182" s="1463"/>
      <c r="M182" s="1450">
        <v>8</v>
      </c>
      <c r="N182" s="1450">
        <v>4</v>
      </c>
      <c r="O182" s="1462">
        <v>10</v>
      </c>
      <c r="P182" s="1450">
        <v>13</v>
      </c>
      <c r="Q182" s="1450"/>
      <c r="R182" s="1450">
        <v>13</v>
      </c>
      <c r="S182" s="1450">
        <v>7</v>
      </c>
      <c r="T182" s="1462">
        <v>4</v>
      </c>
      <c r="U182" s="1450">
        <v>5</v>
      </c>
      <c r="V182" s="1450">
        <v>14</v>
      </c>
      <c r="W182" s="1450">
        <v>5</v>
      </c>
      <c r="X182" s="1450">
        <v>7</v>
      </c>
      <c r="Y182" s="1450">
        <v>14</v>
      </c>
      <c r="Z182" s="1450">
        <v>7</v>
      </c>
      <c r="AA182" s="1452">
        <f t="shared" si="14"/>
        <v>152</v>
      </c>
      <c r="AB182" s="1360"/>
      <c r="AC182" s="1403">
        <f t="shared" si="16"/>
        <v>0</v>
      </c>
    </row>
    <row r="183" spans="1:29" s="1461" customFormat="1">
      <c r="A183" s="1470" t="s">
        <v>2725</v>
      </c>
      <c r="B183" s="1461" t="s">
        <v>2645</v>
      </c>
      <c r="C183" s="1461" t="s">
        <v>2727</v>
      </c>
      <c r="D183" s="1466" t="s">
        <v>18</v>
      </c>
      <c r="E183" s="1450">
        <v>10</v>
      </c>
      <c r="F183" s="1450">
        <v>5</v>
      </c>
      <c r="G183" s="1463"/>
      <c r="H183" s="1450">
        <v>8</v>
      </c>
      <c r="I183" s="1450">
        <v>8</v>
      </c>
      <c r="J183" s="1450">
        <v>10</v>
      </c>
      <c r="K183" s="1450"/>
      <c r="L183" s="1463"/>
      <c r="M183" s="1450">
        <v>8</v>
      </c>
      <c r="N183" s="1450">
        <v>4</v>
      </c>
      <c r="O183" s="1462">
        <v>10</v>
      </c>
      <c r="P183" s="1450">
        <v>13</v>
      </c>
      <c r="Q183" s="1450"/>
      <c r="R183" s="1450">
        <v>13</v>
      </c>
      <c r="S183" s="1450">
        <v>7</v>
      </c>
      <c r="T183" s="1462">
        <v>4</v>
      </c>
      <c r="U183" s="1450">
        <v>5</v>
      </c>
      <c r="V183" s="1450">
        <v>14</v>
      </c>
      <c r="W183" s="1450">
        <v>5</v>
      </c>
      <c r="X183" s="1450">
        <v>7</v>
      </c>
      <c r="Y183" s="1450">
        <v>14</v>
      </c>
      <c r="Z183" s="1450">
        <v>7</v>
      </c>
      <c r="AA183" s="1452">
        <f t="shared" si="14"/>
        <v>152</v>
      </c>
      <c r="AB183" s="1360"/>
      <c r="AC183" s="1403">
        <f t="shared" si="16"/>
        <v>0</v>
      </c>
    </row>
    <row r="184" spans="1:29" s="1461" customFormat="1">
      <c r="A184" s="1470" t="s">
        <v>2726</v>
      </c>
      <c r="B184" s="1461" t="s">
        <v>2646</v>
      </c>
      <c r="C184" s="1461" t="s">
        <v>2727</v>
      </c>
      <c r="D184" s="1466" t="s">
        <v>18</v>
      </c>
      <c r="E184" s="1450">
        <v>10</v>
      </c>
      <c r="F184" s="1450">
        <v>5</v>
      </c>
      <c r="G184" s="1463"/>
      <c r="H184" s="1450">
        <v>8</v>
      </c>
      <c r="I184" s="1450">
        <v>8</v>
      </c>
      <c r="J184" s="1450">
        <v>10</v>
      </c>
      <c r="K184" s="1450"/>
      <c r="L184" s="1463"/>
      <c r="M184" s="1450">
        <v>8</v>
      </c>
      <c r="N184" s="1450">
        <v>4</v>
      </c>
      <c r="O184" s="1462">
        <v>10</v>
      </c>
      <c r="P184" s="1450">
        <v>13</v>
      </c>
      <c r="Q184" s="1450"/>
      <c r="R184" s="1450">
        <v>13</v>
      </c>
      <c r="S184" s="1450">
        <v>7</v>
      </c>
      <c r="T184" s="1462">
        <v>4</v>
      </c>
      <c r="U184" s="1450">
        <v>5</v>
      </c>
      <c r="V184" s="1450">
        <v>14</v>
      </c>
      <c r="W184" s="1450">
        <v>5</v>
      </c>
      <c r="X184" s="1450">
        <v>7</v>
      </c>
      <c r="Y184" s="1450">
        <v>14</v>
      </c>
      <c r="Z184" s="1450">
        <v>7</v>
      </c>
      <c r="AA184" s="1452">
        <f t="shared" si="14"/>
        <v>152</v>
      </c>
      <c r="AB184" s="1360"/>
      <c r="AC184" s="1403">
        <f t="shared" si="16"/>
        <v>0</v>
      </c>
    </row>
    <row r="185" spans="1:29">
      <c r="A185" s="1117" t="s">
        <v>2647</v>
      </c>
      <c r="B185" s="1231" t="s">
        <v>348</v>
      </c>
      <c r="C185" s="1119"/>
      <c r="D185" s="1243"/>
      <c r="E185" s="1244"/>
      <c r="F185" s="1244"/>
      <c r="G185" s="1244"/>
      <c r="H185" s="1244"/>
      <c r="I185" s="1244"/>
      <c r="J185" s="1244"/>
      <c r="K185" s="1244"/>
      <c r="L185" s="1244"/>
      <c r="M185" s="1244"/>
      <c r="N185" s="1244"/>
      <c r="O185" s="1244"/>
      <c r="P185" s="1244"/>
      <c r="Q185" s="1244"/>
      <c r="R185" s="1244"/>
      <c r="S185" s="1244"/>
      <c r="T185" s="1244"/>
      <c r="U185" s="1244"/>
      <c r="V185" s="1244"/>
      <c r="W185" s="1244"/>
      <c r="X185" s="1244"/>
      <c r="Y185" s="1244"/>
      <c r="Z185" s="1244"/>
      <c r="AA185" s="1298"/>
      <c r="AB185" s="1245"/>
      <c r="AC185" s="1245">
        <f>SUM(AC186:AC213)</f>
        <v>0</v>
      </c>
    </row>
    <row r="186" spans="1:29" s="1417" customFormat="1">
      <c r="A186" s="1299" t="s">
        <v>2648</v>
      </c>
      <c r="B186" s="1411" t="s">
        <v>423</v>
      </c>
      <c r="C186" s="1300" t="str">
        <f>'1. KOLEKTORI'!C15</f>
        <v>2.3.20.</v>
      </c>
      <c r="D186" s="1389" t="s">
        <v>18</v>
      </c>
      <c r="E186" s="1272">
        <v>1</v>
      </c>
      <c r="F186" s="1272">
        <v>1</v>
      </c>
      <c r="G186" s="1272">
        <v>1</v>
      </c>
      <c r="H186" s="1272">
        <v>1</v>
      </c>
      <c r="I186" s="1272">
        <v>1</v>
      </c>
      <c r="J186" s="1272">
        <v>1</v>
      </c>
      <c r="K186" s="1272">
        <v>1</v>
      </c>
      <c r="L186" s="1272">
        <v>1</v>
      </c>
      <c r="M186" s="1272">
        <v>1</v>
      </c>
      <c r="N186" s="1272">
        <v>1</v>
      </c>
      <c r="O186" s="1272">
        <v>1</v>
      </c>
      <c r="P186" s="1272">
        <v>1</v>
      </c>
      <c r="Q186" s="1272">
        <v>1</v>
      </c>
      <c r="R186" s="1272">
        <v>1</v>
      </c>
      <c r="S186" s="1272">
        <v>1</v>
      </c>
      <c r="T186" s="1272">
        <v>1</v>
      </c>
      <c r="U186" s="1272">
        <v>1</v>
      </c>
      <c r="V186" s="1272">
        <v>1</v>
      </c>
      <c r="W186" s="1272">
        <v>1</v>
      </c>
      <c r="X186" s="1272">
        <v>1</v>
      </c>
      <c r="Y186" s="1272">
        <v>1</v>
      </c>
      <c r="Z186" s="1272">
        <v>1</v>
      </c>
      <c r="AA186" s="1403">
        <f t="shared" ref="AA186:AA213" si="17">SUM(E186:Z186)</f>
        <v>22</v>
      </c>
      <c r="AB186" s="1269"/>
      <c r="AC186" s="1403">
        <f t="shared" ref="AC186:AC213" si="18">AA186*AB186</f>
        <v>0</v>
      </c>
    </row>
    <row r="187" spans="1:29">
      <c r="A187" s="1299" t="s">
        <v>2649</v>
      </c>
      <c r="B187" s="1055" t="s">
        <v>737</v>
      </c>
      <c r="C187" s="952" t="s">
        <v>416</v>
      </c>
      <c r="D187" s="953" t="s">
        <v>18</v>
      </c>
      <c r="E187" s="1272">
        <v>3150</v>
      </c>
      <c r="F187" s="1272">
        <v>1400</v>
      </c>
      <c r="G187" s="1272">
        <v>3500</v>
      </c>
      <c r="H187" s="1272">
        <v>1400</v>
      </c>
      <c r="I187" s="1272">
        <v>2100</v>
      </c>
      <c r="J187" s="1272">
        <v>1400</v>
      </c>
      <c r="K187" s="1272">
        <v>1050</v>
      </c>
      <c r="L187" s="1272"/>
      <c r="M187" s="1272">
        <v>350</v>
      </c>
      <c r="N187" s="1272">
        <v>350</v>
      </c>
      <c r="O187" s="1272">
        <v>2450</v>
      </c>
      <c r="P187" s="1272">
        <v>1400</v>
      </c>
      <c r="Q187" s="1272">
        <v>350</v>
      </c>
      <c r="R187" s="1272"/>
      <c r="S187" s="1272">
        <v>4900</v>
      </c>
      <c r="T187" s="1272">
        <v>700</v>
      </c>
      <c r="U187" s="1272">
        <v>700</v>
      </c>
      <c r="V187" s="1272">
        <v>5250</v>
      </c>
      <c r="W187" s="1272">
        <v>1750</v>
      </c>
      <c r="X187" s="1272">
        <v>4200</v>
      </c>
      <c r="Y187" s="1272">
        <v>4550</v>
      </c>
      <c r="Z187" s="1272">
        <v>700</v>
      </c>
      <c r="AA187" s="997">
        <f t="shared" si="17"/>
        <v>41650</v>
      </c>
      <c r="AB187" s="1273"/>
      <c r="AC187" s="997">
        <f t="shared" si="18"/>
        <v>0</v>
      </c>
    </row>
    <row r="188" spans="1:29">
      <c r="A188" s="1299" t="s">
        <v>2650</v>
      </c>
      <c r="B188" s="1301" t="s">
        <v>820</v>
      </c>
      <c r="C188" s="1300"/>
      <c r="D188" s="1257"/>
      <c r="E188" s="1272"/>
      <c r="F188" s="1272"/>
      <c r="G188" s="1272"/>
      <c r="H188" s="1272"/>
      <c r="I188" s="1272"/>
      <c r="J188" s="1272"/>
      <c r="K188" s="1272"/>
      <c r="L188" s="1272"/>
      <c r="M188" s="1272"/>
      <c r="N188" s="1272"/>
      <c r="O188" s="1272"/>
      <c r="P188" s="1272"/>
      <c r="Q188" s="1272"/>
      <c r="R188" s="1272"/>
      <c r="S188" s="1272"/>
      <c r="T188" s="1272"/>
      <c r="U188" s="1272"/>
      <c r="V188" s="1272"/>
      <c r="W188" s="1272"/>
      <c r="X188" s="1272"/>
      <c r="Y188" s="1272"/>
      <c r="Z188" s="1272"/>
      <c r="AA188" s="997"/>
      <c r="AB188" s="1269"/>
      <c r="AC188" s="997"/>
    </row>
    <row r="189" spans="1:29">
      <c r="A189" s="1292" t="s">
        <v>2651</v>
      </c>
      <c r="B189" s="1302" t="s">
        <v>2581</v>
      </c>
      <c r="C189" s="952"/>
      <c r="D189" s="953" t="s">
        <v>18</v>
      </c>
      <c r="E189" s="1272">
        <v>8</v>
      </c>
      <c r="F189" s="1272">
        <v>4</v>
      </c>
      <c r="G189" s="1272">
        <v>7</v>
      </c>
      <c r="H189" s="1272">
        <v>3</v>
      </c>
      <c r="I189" s="1272">
        <v>8</v>
      </c>
      <c r="J189" s="1272">
        <v>3</v>
      </c>
      <c r="K189" s="1272">
        <v>2</v>
      </c>
      <c r="L189" s="1272"/>
      <c r="M189" s="1272">
        <v>2</v>
      </c>
      <c r="N189" s="1272">
        <v>2</v>
      </c>
      <c r="O189" s="1272">
        <v>4</v>
      </c>
      <c r="P189" s="1272">
        <v>4</v>
      </c>
      <c r="Q189" s="1272">
        <v>0</v>
      </c>
      <c r="R189" s="1272">
        <v>1</v>
      </c>
      <c r="S189" s="1272">
        <v>6</v>
      </c>
      <c r="T189" s="1272">
        <v>2</v>
      </c>
      <c r="U189" s="1272">
        <v>1</v>
      </c>
      <c r="V189" s="1272">
        <v>9</v>
      </c>
      <c r="W189" s="1272">
        <v>5</v>
      </c>
      <c r="X189" s="1272">
        <v>3</v>
      </c>
      <c r="Y189" s="1272">
        <v>5</v>
      </c>
      <c r="Z189" s="1272">
        <v>1</v>
      </c>
      <c r="AA189" s="997">
        <f t="shared" si="17"/>
        <v>80</v>
      </c>
      <c r="AB189" s="1273"/>
      <c r="AC189" s="997">
        <f t="shared" si="18"/>
        <v>0</v>
      </c>
    </row>
    <row r="190" spans="1:29">
      <c r="A190" s="1292" t="s">
        <v>2652</v>
      </c>
      <c r="B190" s="1302" t="s">
        <v>821</v>
      </c>
      <c r="C190" s="952"/>
      <c r="D190" s="953" t="s">
        <v>18</v>
      </c>
      <c r="E190" s="1272">
        <v>9</v>
      </c>
      <c r="F190" s="1272">
        <v>4</v>
      </c>
      <c r="G190" s="1272">
        <v>10</v>
      </c>
      <c r="H190" s="1272">
        <v>2</v>
      </c>
      <c r="I190" s="1272">
        <v>6</v>
      </c>
      <c r="J190" s="1272">
        <v>4</v>
      </c>
      <c r="K190" s="1272">
        <v>3</v>
      </c>
      <c r="L190" s="1272"/>
      <c r="M190" s="1272">
        <v>1</v>
      </c>
      <c r="N190" s="1272">
        <v>1</v>
      </c>
      <c r="O190" s="1272">
        <v>7</v>
      </c>
      <c r="P190" s="1272">
        <v>4</v>
      </c>
      <c r="Q190" s="1272">
        <v>1</v>
      </c>
      <c r="R190" s="1272">
        <v>0</v>
      </c>
      <c r="S190" s="1272">
        <v>14</v>
      </c>
      <c r="T190" s="1272">
        <v>2</v>
      </c>
      <c r="U190" s="1272">
        <v>2</v>
      </c>
      <c r="V190" s="1272">
        <v>15</v>
      </c>
      <c r="W190" s="1272">
        <v>5</v>
      </c>
      <c r="X190" s="1272">
        <v>12</v>
      </c>
      <c r="Y190" s="1272">
        <v>13</v>
      </c>
      <c r="Z190" s="1272">
        <v>2</v>
      </c>
      <c r="AA190" s="997">
        <f t="shared" si="17"/>
        <v>117</v>
      </c>
      <c r="AB190" s="1273"/>
      <c r="AC190" s="997">
        <f t="shared" si="18"/>
        <v>0</v>
      </c>
    </row>
    <row r="191" spans="1:29" ht="30.75" customHeight="1">
      <c r="A191" s="1287" t="s">
        <v>2653</v>
      </c>
      <c r="B191" s="1303" t="s">
        <v>904</v>
      </c>
      <c r="C191" s="1300" t="s">
        <v>552</v>
      </c>
      <c r="D191" s="1257"/>
      <c r="E191" s="1272"/>
      <c r="F191" s="1272"/>
      <c r="G191" s="1272"/>
      <c r="H191" s="1272"/>
      <c r="I191" s="1272"/>
      <c r="J191" s="1272"/>
      <c r="K191" s="1272"/>
      <c r="L191" s="1272"/>
      <c r="M191" s="1272"/>
      <c r="N191" s="1272"/>
      <c r="O191" s="1272"/>
      <c r="P191" s="1272"/>
      <c r="Q191" s="1272"/>
      <c r="R191" s="1272"/>
      <c r="S191" s="1272"/>
      <c r="T191" s="1272"/>
      <c r="U191" s="1272"/>
      <c r="V191" s="1272"/>
      <c r="W191" s="1272"/>
      <c r="X191" s="1272"/>
      <c r="Y191" s="1272"/>
      <c r="Z191" s="1272"/>
      <c r="AA191" s="997"/>
      <c r="AB191" s="1269"/>
      <c r="AC191" s="997"/>
    </row>
    <row r="192" spans="1:29">
      <c r="A192" s="1292" t="s">
        <v>2654</v>
      </c>
      <c r="B192" s="1302" t="s">
        <v>906</v>
      </c>
      <c r="C192" s="952"/>
      <c r="D192" s="953" t="s">
        <v>18</v>
      </c>
      <c r="E192" s="1272">
        <v>4</v>
      </c>
      <c r="F192" s="1272">
        <v>2</v>
      </c>
      <c r="G192" s="1272">
        <v>2</v>
      </c>
      <c r="H192" s="1272"/>
      <c r="I192" s="1272"/>
      <c r="J192" s="1272">
        <v>1</v>
      </c>
      <c r="K192" s="1272">
        <v>2</v>
      </c>
      <c r="L192" s="1272">
        <v>2</v>
      </c>
      <c r="M192" s="1272">
        <v>2</v>
      </c>
      <c r="N192" s="1272"/>
      <c r="O192" s="1272">
        <v>2</v>
      </c>
      <c r="P192" s="1272">
        <v>1</v>
      </c>
      <c r="Q192" s="1272">
        <v>0</v>
      </c>
      <c r="R192" s="1272">
        <v>0</v>
      </c>
      <c r="S192" s="1272"/>
      <c r="T192" s="1272">
        <v>0</v>
      </c>
      <c r="U192" s="1272"/>
      <c r="V192" s="1272"/>
      <c r="W192" s="1272">
        <v>1</v>
      </c>
      <c r="X192" s="1272">
        <v>2</v>
      </c>
      <c r="Y192" s="1272">
        <v>3</v>
      </c>
      <c r="Z192" s="1272">
        <v>0</v>
      </c>
      <c r="AA192" s="997">
        <f t="shared" si="17"/>
        <v>24</v>
      </c>
      <c r="AB192" s="1273"/>
      <c r="AC192" s="997">
        <f t="shared" si="18"/>
        <v>0</v>
      </c>
    </row>
    <row r="193" spans="1:29">
      <c r="A193" s="1292" t="s">
        <v>2655</v>
      </c>
      <c r="B193" s="1302" t="s">
        <v>824</v>
      </c>
      <c r="C193" s="952"/>
      <c r="D193" s="953" t="s">
        <v>18</v>
      </c>
      <c r="E193" s="1272"/>
      <c r="F193" s="1272">
        <v>3</v>
      </c>
      <c r="G193" s="1272">
        <v>2</v>
      </c>
      <c r="H193" s="1272">
        <v>1</v>
      </c>
      <c r="I193" s="1272">
        <v>2</v>
      </c>
      <c r="J193" s="1272">
        <v>1</v>
      </c>
      <c r="K193" s="1272">
        <v>1</v>
      </c>
      <c r="L193" s="1272"/>
      <c r="M193" s="1272">
        <v>2</v>
      </c>
      <c r="N193" s="1272"/>
      <c r="O193" s="1272">
        <v>0</v>
      </c>
      <c r="P193" s="1272">
        <v>3</v>
      </c>
      <c r="Q193" s="1272">
        <v>0</v>
      </c>
      <c r="R193" s="1272">
        <v>2</v>
      </c>
      <c r="S193" s="1272"/>
      <c r="T193" s="1272">
        <v>2</v>
      </c>
      <c r="U193" s="1272"/>
      <c r="V193" s="1272"/>
      <c r="W193" s="1272">
        <v>1</v>
      </c>
      <c r="X193" s="1272">
        <v>0</v>
      </c>
      <c r="Y193" s="1272">
        <v>1</v>
      </c>
      <c r="Z193" s="1272">
        <v>2</v>
      </c>
      <c r="AA193" s="997">
        <f t="shared" si="17"/>
        <v>23</v>
      </c>
      <c r="AB193" s="1273"/>
      <c r="AC193" s="997">
        <f t="shared" si="18"/>
        <v>0</v>
      </c>
    </row>
    <row r="194" spans="1:29">
      <c r="A194" s="1287" t="s">
        <v>2656</v>
      </c>
      <c r="B194" s="1303" t="s">
        <v>907</v>
      </c>
      <c r="C194" s="1300"/>
      <c r="D194" s="1257" t="s">
        <v>18</v>
      </c>
      <c r="E194" s="1272"/>
      <c r="F194" s="1272"/>
      <c r="G194" s="1272"/>
      <c r="H194" s="1272"/>
      <c r="I194" s="1272"/>
      <c r="J194" s="1272"/>
      <c r="K194" s="1272"/>
      <c r="L194" s="1272"/>
      <c r="M194" s="1272"/>
      <c r="N194" s="1272"/>
      <c r="O194" s="1272"/>
      <c r="P194" s="1272"/>
      <c r="Q194" s="1272"/>
      <c r="R194" s="1272"/>
      <c r="S194" s="1272"/>
      <c r="T194" s="1272"/>
      <c r="U194" s="1272"/>
      <c r="V194" s="1272"/>
      <c r="W194" s="1272"/>
      <c r="X194" s="1272"/>
      <c r="Y194" s="1272">
        <v>1</v>
      </c>
      <c r="Z194" s="1272"/>
      <c r="AA194" s="997">
        <f t="shared" si="17"/>
        <v>1</v>
      </c>
      <c r="AB194" s="1273"/>
      <c r="AC194" s="997">
        <f t="shared" si="18"/>
        <v>0</v>
      </c>
    </row>
    <row r="195" spans="1:29">
      <c r="A195" s="1287" t="s">
        <v>2657</v>
      </c>
      <c r="B195" s="1303" t="s">
        <v>1065</v>
      </c>
      <c r="C195" s="1300"/>
      <c r="D195" s="1257"/>
      <c r="E195" s="1272"/>
      <c r="F195" s="1272"/>
      <c r="G195" s="1272"/>
      <c r="H195" s="1272"/>
      <c r="I195" s="1272"/>
      <c r="J195" s="1272"/>
      <c r="K195" s="1272"/>
      <c r="L195" s="1272"/>
      <c r="M195" s="1272"/>
      <c r="N195" s="1272"/>
      <c r="O195" s="1272"/>
      <c r="P195" s="1272"/>
      <c r="Q195" s="1272"/>
      <c r="R195" s="1272"/>
      <c r="S195" s="1272"/>
      <c r="T195" s="1272"/>
      <c r="U195" s="1272"/>
      <c r="V195" s="1272"/>
      <c r="W195" s="1272"/>
      <c r="X195" s="1272"/>
      <c r="Y195" s="1272"/>
      <c r="Z195" s="1272"/>
      <c r="AA195" s="997"/>
      <c r="AB195" s="1269"/>
      <c r="AC195" s="997"/>
    </row>
    <row r="196" spans="1:29">
      <c r="A196" s="1292" t="s">
        <v>2658</v>
      </c>
      <c r="B196" s="1302" t="s">
        <v>2796</v>
      </c>
      <c r="C196" s="952" t="s">
        <v>2349</v>
      </c>
      <c r="D196" s="953" t="s">
        <v>18</v>
      </c>
      <c r="E196" s="1272"/>
      <c r="F196" s="1272">
        <v>16</v>
      </c>
      <c r="G196" s="1272"/>
      <c r="H196" s="1272">
        <v>4</v>
      </c>
      <c r="I196" s="1272">
        <v>27</v>
      </c>
      <c r="J196" s="1272">
        <v>14</v>
      </c>
      <c r="K196" s="1272">
        <v>17</v>
      </c>
      <c r="L196" s="1272">
        <v>2</v>
      </c>
      <c r="M196" s="1272">
        <v>9</v>
      </c>
      <c r="N196" s="1272">
        <v>7</v>
      </c>
      <c r="O196" s="1272">
        <v>63</v>
      </c>
      <c r="P196" s="1272">
        <v>30</v>
      </c>
      <c r="Q196" s="1272">
        <v>4</v>
      </c>
      <c r="R196" s="1272">
        <v>0</v>
      </c>
      <c r="S196" s="1272">
        <v>49</v>
      </c>
      <c r="T196" s="1272">
        <v>10</v>
      </c>
      <c r="U196" s="1272">
        <v>12</v>
      </c>
      <c r="V196" s="1272">
        <v>78</v>
      </c>
      <c r="W196" s="1272"/>
      <c r="X196" s="1272">
        <v>39</v>
      </c>
      <c r="Y196" s="1272">
        <v>50</v>
      </c>
      <c r="Z196" s="1272">
        <v>3</v>
      </c>
      <c r="AA196" s="997">
        <f t="shared" si="17"/>
        <v>434</v>
      </c>
      <c r="AB196" s="1273"/>
      <c r="AC196" s="997">
        <f t="shared" si="18"/>
        <v>0</v>
      </c>
    </row>
    <row r="197" spans="1:29">
      <c r="A197" s="1292" t="s">
        <v>2659</v>
      </c>
      <c r="B197" s="1302" t="s">
        <v>2797</v>
      </c>
      <c r="C197" s="1390" t="s">
        <v>2350</v>
      </c>
      <c r="D197" s="953" t="s">
        <v>18</v>
      </c>
      <c r="E197" s="1272"/>
      <c r="F197" s="1272">
        <v>0</v>
      </c>
      <c r="G197" s="1272"/>
      <c r="H197" s="1272"/>
      <c r="I197" s="1272"/>
      <c r="J197" s="1272">
        <v>4</v>
      </c>
      <c r="K197" s="1272">
        <v>10</v>
      </c>
      <c r="L197" s="1272">
        <v>0</v>
      </c>
      <c r="M197" s="1272">
        <v>0</v>
      </c>
      <c r="N197" s="1272">
        <v>0</v>
      </c>
      <c r="O197" s="1272">
        <v>0</v>
      </c>
      <c r="P197" s="1272">
        <v>0</v>
      </c>
      <c r="Q197" s="1272">
        <v>1</v>
      </c>
      <c r="R197" s="1272">
        <v>0</v>
      </c>
      <c r="S197" s="1272">
        <v>0</v>
      </c>
      <c r="T197" s="1272">
        <v>0</v>
      </c>
      <c r="U197" s="1272">
        <v>0</v>
      </c>
      <c r="V197" s="1272">
        <v>17</v>
      </c>
      <c r="W197" s="1272"/>
      <c r="X197" s="1272">
        <v>0</v>
      </c>
      <c r="Y197" s="1272">
        <v>0</v>
      </c>
      <c r="Z197" s="1272">
        <v>0</v>
      </c>
      <c r="AA197" s="997">
        <f t="shared" si="17"/>
        <v>32</v>
      </c>
      <c r="AB197" s="1273"/>
      <c r="AC197" s="997">
        <f t="shared" si="18"/>
        <v>0</v>
      </c>
    </row>
    <row r="198" spans="1:29">
      <c r="A198" s="1292" t="s">
        <v>2660</v>
      </c>
      <c r="B198" s="1302" t="s">
        <v>2798</v>
      </c>
      <c r="C198" s="1390" t="s">
        <v>2351</v>
      </c>
      <c r="D198" s="953" t="s">
        <v>18</v>
      </c>
      <c r="E198" s="1272"/>
      <c r="F198" s="1272">
        <v>19</v>
      </c>
      <c r="G198" s="1272">
        <v>7</v>
      </c>
      <c r="H198" s="1272">
        <v>2</v>
      </c>
      <c r="I198" s="1272">
        <v>22</v>
      </c>
      <c r="J198" s="1272">
        <v>5</v>
      </c>
      <c r="K198" s="1272">
        <v>10</v>
      </c>
      <c r="L198" s="1272">
        <v>2</v>
      </c>
      <c r="M198" s="1272">
        <v>9</v>
      </c>
      <c r="N198" s="1272">
        <v>8</v>
      </c>
      <c r="O198" s="1272">
        <v>55</v>
      </c>
      <c r="P198" s="1272">
        <v>34</v>
      </c>
      <c r="Q198" s="1272">
        <v>0</v>
      </c>
      <c r="R198" s="1272">
        <v>2</v>
      </c>
      <c r="S198" s="1272">
        <v>44</v>
      </c>
      <c r="T198" s="1272">
        <v>11</v>
      </c>
      <c r="U198" s="1272">
        <v>5</v>
      </c>
      <c r="V198" s="1272">
        <v>50</v>
      </c>
      <c r="W198" s="1272"/>
      <c r="X198" s="1272">
        <v>39</v>
      </c>
      <c r="Y198" s="1272">
        <v>45</v>
      </c>
      <c r="Z198" s="1272">
        <v>15</v>
      </c>
      <c r="AA198" s="997">
        <f t="shared" si="17"/>
        <v>384</v>
      </c>
      <c r="AB198" s="1273"/>
      <c r="AC198" s="997">
        <f t="shared" si="18"/>
        <v>0</v>
      </c>
    </row>
    <row r="199" spans="1:29">
      <c r="A199" s="1292" t="s">
        <v>2661</v>
      </c>
      <c r="B199" s="1302" t="s">
        <v>2796</v>
      </c>
      <c r="C199" s="1390" t="s">
        <v>2353</v>
      </c>
      <c r="D199" s="953" t="s">
        <v>18</v>
      </c>
      <c r="E199" s="1272">
        <v>21</v>
      </c>
      <c r="F199" s="1272"/>
      <c r="G199" s="1272"/>
      <c r="H199" s="1272"/>
      <c r="I199" s="1272"/>
      <c r="J199" s="1272"/>
      <c r="K199" s="1272"/>
      <c r="L199" s="1272"/>
      <c r="M199" s="1272"/>
      <c r="N199" s="1272"/>
      <c r="O199" s="1272"/>
      <c r="P199" s="1272"/>
      <c r="Q199" s="1272"/>
      <c r="R199" s="1272"/>
      <c r="S199" s="1272"/>
      <c r="T199" s="1272"/>
      <c r="U199" s="1272"/>
      <c r="V199" s="1272"/>
      <c r="W199" s="1272">
        <v>46</v>
      </c>
      <c r="X199" s="1272"/>
      <c r="Y199" s="1272"/>
      <c r="Z199" s="1272"/>
      <c r="AA199" s="997">
        <f t="shared" si="17"/>
        <v>67</v>
      </c>
      <c r="AB199" s="1273"/>
      <c r="AC199" s="997">
        <f t="shared" si="18"/>
        <v>0</v>
      </c>
    </row>
    <row r="200" spans="1:29">
      <c r="A200" s="1292" t="s">
        <v>2662</v>
      </c>
      <c r="B200" s="1302" t="s">
        <v>2798</v>
      </c>
      <c r="C200" s="1390" t="s">
        <v>2582</v>
      </c>
      <c r="D200" s="953" t="s">
        <v>18</v>
      </c>
      <c r="E200" s="1272">
        <v>52</v>
      </c>
      <c r="F200" s="1272"/>
      <c r="G200" s="1272"/>
      <c r="H200" s="1272"/>
      <c r="I200" s="1272"/>
      <c r="J200" s="1272"/>
      <c r="K200" s="1272"/>
      <c r="L200" s="1272"/>
      <c r="M200" s="1272"/>
      <c r="N200" s="1272"/>
      <c r="O200" s="1272"/>
      <c r="P200" s="1272"/>
      <c r="Q200" s="1272"/>
      <c r="R200" s="1272"/>
      <c r="S200" s="1272"/>
      <c r="T200" s="1272"/>
      <c r="U200" s="1272"/>
      <c r="V200" s="1272"/>
      <c r="W200" s="1272">
        <v>40</v>
      </c>
      <c r="X200" s="1272"/>
      <c r="Y200" s="1272"/>
      <c r="Z200" s="1272"/>
      <c r="AA200" s="997">
        <f t="shared" si="17"/>
        <v>92</v>
      </c>
      <c r="AB200" s="1273"/>
      <c r="AC200" s="997">
        <f t="shared" si="18"/>
        <v>0</v>
      </c>
    </row>
    <row r="201" spans="1:29" s="1417" customFormat="1" ht="20.25" customHeight="1">
      <c r="A201" s="1287" t="s">
        <v>2663</v>
      </c>
      <c r="B201" s="1303" t="s">
        <v>1066</v>
      </c>
      <c r="C201" s="1300"/>
      <c r="D201" s="1389" t="s">
        <v>18</v>
      </c>
      <c r="E201" s="1272">
        <v>2</v>
      </c>
      <c r="F201" s="1272">
        <v>1</v>
      </c>
      <c r="G201" s="1272">
        <v>2</v>
      </c>
      <c r="H201" s="1272"/>
      <c r="I201" s="1272"/>
      <c r="J201" s="1272">
        <v>1</v>
      </c>
      <c r="K201" s="1272">
        <v>1</v>
      </c>
      <c r="L201" s="1272"/>
      <c r="M201" s="1272"/>
      <c r="N201" s="1272"/>
      <c r="O201" s="1272"/>
      <c r="P201" s="1272"/>
      <c r="Q201" s="1272"/>
      <c r="R201" s="1272"/>
      <c r="S201" s="1272">
        <v>1</v>
      </c>
      <c r="T201" s="1272">
        <v>1</v>
      </c>
      <c r="U201" s="1272"/>
      <c r="V201" s="1272">
        <v>2</v>
      </c>
      <c r="W201" s="1272"/>
      <c r="X201" s="1272"/>
      <c r="Y201" s="1272">
        <v>2</v>
      </c>
      <c r="Z201" s="1272"/>
      <c r="AA201" s="1403">
        <f t="shared" si="17"/>
        <v>13</v>
      </c>
      <c r="AB201" s="1269"/>
      <c r="AC201" s="1403">
        <f t="shared" si="18"/>
        <v>0</v>
      </c>
    </row>
    <row r="202" spans="1:29">
      <c r="A202" s="1287" t="s">
        <v>2664</v>
      </c>
      <c r="B202" s="1303" t="s">
        <v>1067</v>
      </c>
      <c r="C202" s="1300" t="s">
        <v>2583</v>
      </c>
      <c r="D202" s="1257"/>
      <c r="E202" s="1272"/>
      <c r="F202" s="1272"/>
      <c r="G202" s="1272"/>
      <c r="H202" s="1272"/>
      <c r="I202" s="1272"/>
      <c r="J202" s="1272"/>
      <c r="K202" s="1272"/>
      <c r="L202" s="1272"/>
      <c r="M202" s="1272"/>
      <c r="N202" s="1272"/>
      <c r="O202" s="1272"/>
      <c r="P202" s="1272"/>
      <c r="Q202" s="1272"/>
      <c r="R202" s="1272"/>
      <c r="S202" s="1272"/>
      <c r="T202" s="1272"/>
      <c r="U202" s="1272"/>
      <c r="V202" s="1272"/>
      <c r="W202" s="1272"/>
      <c r="X202" s="1272"/>
      <c r="Y202" s="1272"/>
      <c r="Z202" s="1272"/>
      <c r="AA202" s="997"/>
      <c r="AB202" s="1269"/>
      <c r="AC202" s="997"/>
    </row>
    <row r="203" spans="1:29">
      <c r="A203" s="1292" t="s">
        <v>2665</v>
      </c>
      <c r="B203" s="1302" t="s">
        <v>651</v>
      </c>
      <c r="C203" s="952"/>
      <c r="D203" s="953" t="s">
        <v>11</v>
      </c>
      <c r="E203" s="1272">
        <v>1441.06</v>
      </c>
      <c r="F203" s="1272">
        <v>496.72</v>
      </c>
      <c r="G203" s="1272">
        <v>2382.6999999999998</v>
      </c>
      <c r="H203" s="1272">
        <v>445</v>
      </c>
      <c r="I203" s="1272">
        <v>818.42</v>
      </c>
      <c r="J203" s="1272">
        <v>619.64</v>
      </c>
      <c r="K203" s="1272">
        <v>396.92</v>
      </c>
      <c r="L203" s="1272">
        <v>58.21</v>
      </c>
      <c r="M203" s="1272">
        <v>186.92</v>
      </c>
      <c r="N203" s="1272">
        <v>168.66</v>
      </c>
      <c r="O203" s="1272">
        <v>1126.06</v>
      </c>
      <c r="P203" s="1272">
        <v>660.07</v>
      </c>
      <c r="Q203" s="1272">
        <v>128.32</v>
      </c>
      <c r="R203" s="1272">
        <v>72.63</v>
      </c>
      <c r="S203" s="1272">
        <v>1989.92</v>
      </c>
      <c r="T203" s="1272">
        <v>381.12</v>
      </c>
      <c r="U203" s="1272">
        <v>289.23</v>
      </c>
      <c r="V203" s="1272">
        <v>2108.9899999999998</v>
      </c>
      <c r="W203" s="1272">
        <v>343</v>
      </c>
      <c r="X203" s="1272">
        <v>2127.0300000000002</v>
      </c>
      <c r="Y203" s="1272">
        <v>1937.02</v>
      </c>
      <c r="Z203" s="1272">
        <v>343.15</v>
      </c>
      <c r="AA203" s="997">
        <f t="shared" si="17"/>
        <v>18520.79</v>
      </c>
      <c r="AB203" s="1273"/>
      <c r="AC203" s="997">
        <f t="shared" si="18"/>
        <v>0</v>
      </c>
    </row>
    <row r="204" spans="1:29">
      <c r="A204" s="1292" t="s">
        <v>2666</v>
      </c>
      <c r="B204" s="1302" t="s">
        <v>652</v>
      </c>
      <c r="C204" s="952"/>
      <c r="D204" s="953" t="s">
        <v>11</v>
      </c>
      <c r="E204" s="1272">
        <v>0</v>
      </c>
      <c r="F204" s="1272"/>
      <c r="G204" s="1272"/>
      <c r="H204" s="1272"/>
      <c r="I204" s="1272"/>
      <c r="J204" s="1272"/>
      <c r="K204" s="1272"/>
      <c r="L204" s="1272"/>
      <c r="M204" s="1272"/>
      <c r="N204" s="1272"/>
      <c r="O204" s="1272"/>
      <c r="P204" s="1272"/>
      <c r="Q204" s="1272"/>
      <c r="R204" s="1272"/>
      <c r="S204" s="1272"/>
      <c r="T204" s="1272">
        <v>0</v>
      </c>
      <c r="U204" s="1272">
        <v>0</v>
      </c>
      <c r="V204" s="1272"/>
      <c r="W204" s="1272">
        <v>500</v>
      </c>
      <c r="X204" s="1272">
        <v>0</v>
      </c>
      <c r="Y204" s="1272"/>
      <c r="Z204" s="1272"/>
      <c r="AA204" s="997">
        <f t="shared" si="17"/>
        <v>500</v>
      </c>
      <c r="AB204" s="1273"/>
      <c r="AC204" s="997">
        <f t="shared" si="18"/>
        <v>0</v>
      </c>
    </row>
    <row r="205" spans="1:29" s="1417" customFormat="1" ht="28.5">
      <c r="A205" s="1287" t="s">
        <v>2667</v>
      </c>
      <c r="B205" s="1303" t="s">
        <v>2584</v>
      </c>
      <c r="C205" s="1300" t="s">
        <v>2585</v>
      </c>
      <c r="D205" s="1389" t="s">
        <v>18</v>
      </c>
      <c r="E205" s="1272">
        <v>1</v>
      </c>
      <c r="F205" s="1272">
        <v>1</v>
      </c>
      <c r="G205" s="1272">
        <v>1</v>
      </c>
      <c r="H205" s="1272">
        <v>1</v>
      </c>
      <c r="I205" s="1272">
        <v>1</v>
      </c>
      <c r="J205" s="1272">
        <v>1</v>
      </c>
      <c r="K205" s="1272">
        <v>1</v>
      </c>
      <c r="L205" s="1272">
        <v>1</v>
      </c>
      <c r="M205" s="1272">
        <v>1</v>
      </c>
      <c r="N205" s="1272">
        <v>1</v>
      </c>
      <c r="O205" s="1272">
        <v>1</v>
      </c>
      <c r="P205" s="1272">
        <v>1</v>
      </c>
      <c r="Q205" s="1272">
        <v>1</v>
      </c>
      <c r="R205" s="1272">
        <v>1</v>
      </c>
      <c r="S205" s="1272">
        <v>1</v>
      </c>
      <c r="T205" s="1272">
        <v>1</v>
      </c>
      <c r="U205" s="1272">
        <v>1</v>
      </c>
      <c r="V205" s="1272">
        <v>1</v>
      </c>
      <c r="W205" s="1272">
        <v>1</v>
      </c>
      <c r="X205" s="1272">
        <v>1</v>
      </c>
      <c r="Y205" s="1272">
        <v>1</v>
      </c>
      <c r="Z205" s="1272">
        <v>1</v>
      </c>
      <c r="AA205" s="1403">
        <f t="shared" si="17"/>
        <v>22</v>
      </c>
      <c r="AB205" s="1269"/>
      <c r="AC205" s="1403">
        <f t="shared" si="18"/>
        <v>0</v>
      </c>
    </row>
    <row r="206" spans="1:29">
      <c r="A206" s="1287" t="s">
        <v>2668</v>
      </c>
      <c r="B206" s="1303" t="s">
        <v>827</v>
      </c>
      <c r="C206" s="1300"/>
      <c r="D206" s="1257"/>
      <c r="E206" s="1272"/>
      <c r="F206" s="1272"/>
      <c r="G206" s="1272"/>
      <c r="H206" s="1272"/>
      <c r="I206" s="1272"/>
      <c r="J206" s="1272"/>
      <c r="K206" s="1272"/>
      <c r="L206" s="1272"/>
      <c r="M206" s="1272"/>
      <c r="N206" s="1272"/>
      <c r="O206" s="1272"/>
      <c r="P206" s="1272"/>
      <c r="Q206" s="1272"/>
      <c r="R206" s="1272"/>
      <c r="S206" s="1272"/>
      <c r="T206" s="1272"/>
      <c r="U206" s="1272"/>
      <c r="V206" s="1272"/>
      <c r="W206" s="1272"/>
      <c r="X206" s="1272"/>
      <c r="Y206" s="1272"/>
      <c r="Z206" s="1272"/>
      <c r="AA206" s="997"/>
      <c r="AB206" s="1269"/>
      <c r="AC206" s="997"/>
    </row>
    <row r="207" spans="1:29" s="1379" customFormat="1">
      <c r="A207" s="1386" t="s">
        <v>2669</v>
      </c>
      <c r="B207" s="1404" t="s">
        <v>2592</v>
      </c>
      <c r="C207" s="1448" t="s">
        <v>435</v>
      </c>
      <c r="D207" s="1449" t="s">
        <v>11</v>
      </c>
      <c r="E207" s="1450"/>
      <c r="F207" s="1450"/>
      <c r="G207" s="1450"/>
      <c r="H207" s="1450"/>
      <c r="I207" s="1450">
        <v>172</v>
      </c>
      <c r="J207" s="1450">
        <v>619.64</v>
      </c>
      <c r="K207" s="1450">
        <v>396.92</v>
      </c>
      <c r="L207" s="1450">
        <v>58.21</v>
      </c>
      <c r="M207" s="1450">
        <v>186.92</v>
      </c>
      <c r="N207" s="1450"/>
      <c r="O207" s="1450"/>
      <c r="P207" s="1450">
        <v>660.07</v>
      </c>
      <c r="Q207" s="1450">
        <v>128.32</v>
      </c>
      <c r="R207" s="1450">
        <v>72.63</v>
      </c>
      <c r="S207" s="1451">
        <v>1264</v>
      </c>
      <c r="T207" s="1450">
        <v>381.12</v>
      </c>
      <c r="U207" s="1450">
        <v>289.23</v>
      </c>
      <c r="V207" s="1450"/>
      <c r="W207" s="1450"/>
      <c r="X207" s="1451">
        <v>450</v>
      </c>
      <c r="Y207" s="1450"/>
      <c r="Z207" s="1450">
        <v>343.15</v>
      </c>
      <c r="AA207" s="1452">
        <f t="shared" ref="AA207:AA210" si="19">SUM(E207:Z207)</f>
        <v>5022.21</v>
      </c>
      <c r="AB207" s="1382"/>
      <c r="AC207" s="1452">
        <f t="shared" ref="AC207:AC210" si="20">AA207*AB207</f>
        <v>0</v>
      </c>
    </row>
    <row r="208" spans="1:29" s="1379" customFormat="1">
      <c r="A208" s="1386" t="s">
        <v>2670</v>
      </c>
      <c r="B208" s="1404" t="s">
        <v>2593</v>
      </c>
      <c r="C208" s="1448" t="s">
        <v>435</v>
      </c>
      <c r="D208" s="1449" t="s">
        <v>11</v>
      </c>
      <c r="E208" s="1450"/>
      <c r="F208" s="1450"/>
      <c r="G208" s="1450"/>
      <c r="H208" s="1450"/>
      <c r="I208" s="1450"/>
      <c r="J208" s="1450"/>
      <c r="K208" s="1450"/>
      <c r="L208" s="1450"/>
      <c r="M208" s="1450"/>
      <c r="N208" s="1450">
        <v>168.66</v>
      </c>
      <c r="O208" s="1451">
        <v>523</v>
      </c>
      <c r="P208" s="1450"/>
      <c r="Q208" s="1450"/>
      <c r="R208" s="1450"/>
      <c r="S208" s="1451">
        <v>727</v>
      </c>
      <c r="T208" s="1450"/>
      <c r="U208" s="1450"/>
      <c r="V208" s="1450">
        <v>2108.9899999999998</v>
      </c>
      <c r="W208" s="1450">
        <v>843.89</v>
      </c>
      <c r="X208" s="1451">
        <v>1678</v>
      </c>
      <c r="Y208" s="1450">
        <v>1937.02</v>
      </c>
      <c r="Z208" s="1450"/>
      <c r="AA208" s="1452">
        <f t="shared" si="19"/>
        <v>7986.5599999999995</v>
      </c>
      <c r="AB208" s="1382"/>
      <c r="AC208" s="1452">
        <f t="shared" si="20"/>
        <v>0</v>
      </c>
    </row>
    <row r="209" spans="1:29" s="1379" customFormat="1">
      <c r="A209" s="1386" t="s">
        <v>2671</v>
      </c>
      <c r="B209" s="1404" t="s">
        <v>1068</v>
      </c>
      <c r="C209" s="1448" t="s">
        <v>435</v>
      </c>
      <c r="D209" s="1449" t="s">
        <v>11</v>
      </c>
      <c r="E209" s="1450">
        <v>1441.06</v>
      </c>
      <c r="F209" s="1450"/>
      <c r="G209" s="1450">
        <v>2382.6999999999998</v>
      </c>
      <c r="H209" s="1450"/>
      <c r="I209" s="1450">
        <v>646</v>
      </c>
      <c r="J209" s="1450"/>
      <c r="K209" s="1450"/>
      <c r="L209" s="1450"/>
      <c r="M209" s="1450"/>
      <c r="N209" s="1450"/>
      <c r="O209" s="1451">
        <v>602</v>
      </c>
      <c r="P209" s="1450"/>
      <c r="Q209" s="1450"/>
      <c r="R209" s="1450"/>
      <c r="S209" s="1450"/>
      <c r="T209" s="1450"/>
      <c r="U209" s="1450"/>
      <c r="V209" s="1450"/>
      <c r="W209" s="1450"/>
      <c r="X209" s="1450"/>
      <c r="Y209" s="1450"/>
      <c r="Z209" s="1450"/>
      <c r="AA209" s="1452">
        <f t="shared" si="19"/>
        <v>5071.76</v>
      </c>
      <c r="AB209" s="1382"/>
      <c r="AC209" s="1452">
        <f t="shared" si="20"/>
        <v>0</v>
      </c>
    </row>
    <row r="210" spans="1:29" s="1379" customFormat="1">
      <c r="A210" s="1386" t="s">
        <v>2672</v>
      </c>
      <c r="B210" s="1453" t="s">
        <v>829</v>
      </c>
      <c r="C210" s="1448" t="s">
        <v>435</v>
      </c>
      <c r="D210" s="1449" t="s">
        <v>11</v>
      </c>
      <c r="E210" s="1450"/>
      <c r="F210" s="1450">
        <v>496.72</v>
      </c>
      <c r="G210" s="1450"/>
      <c r="H210" s="1450">
        <v>445</v>
      </c>
      <c r="I210" s="1450"/>
      <c r="J210" s="1450"/>
      <c r="K210" s="1450"/>
      <c r="L210" s="1450"/>
      <c r="M210" s="1450"/>
      <c r="N210" s="1450"/>
      <c r="O210" s="1450"/>
      <c r="P210" s="1450"/>
      <c r="Q210" s="1450"/>
      <c r="R210" s="1450"/>
      <c r="S210" s="1450"/>
      <c r="T210" s="1450"/>
      <c r="U210" s="1450"/>
      <c r="V210" s="1450"/>
      <c r="W210" s="1450"/>
      <c r="X210" s="1450"/>
      <c r="Y210" s="1450"/>
      <c r="Z210" s="1450"/>
      <c r="AA210" s="1452">
        <f t="shared" si="19"/>
        <v>941.72</v>
      </c>
      <c r="AB210" s="1382"/>
      <c r="AC210" s="1452">
        <f t="shared" si="20"/>
        <v>0</v>
      </c>
    </row>
    <row r="211" spans="1:29">
      <c r="A211" s="1287" t="s">
        <v>2673</v>
      </c>
      <c r="B211" s="1303" t="s">
        <v>830</v>
      </c>
      <c r="C211" s="1300" t="s">
        <v>2590</v>
      </c>
      <c r="D211" s="1257" t="s">
        <v>11</v>
      </c>
      <c r="E211" s="1272">
        <v>1441.06</v>
      </c>
      <c r="F211" s="1272">
        <v>496.72</v>
      </c>
      <c r="G211" s="1272">
        <v>2382.6999999999998</v>
      </c>
      <c r="H211" s="1272">
        <v>445</v>
      </c>
      <c r="I211" s="1272">
        <v>818.42</v>
      </c>
      <c r="J211" s="1272">
        <v>619.64</v>
      </c>
      <c r="K211" s="1272">
        <v>396.92</v>
      </c>
      <c r="L211" s="1272">
        <v>58.21</v>
      </c>
      <c r="M211" s="1272">
        <v>186.92</v>
      </c>
      <c r="N211" s="1272">
        <v>168.66</v>
      </c>
      <c r="O211" s="1272">
        <v>1126.06</v>
      </c>
      <c r="P211" s="1272">
        <v>660.07</v>
      </c>
      <c r="Q211" s="1272">
        <v>128.32</v>
      </c>
      <c r="R211" s="1272">
        <v>72.63</v>
      </c>
      <c r="S211" s="1272">
        <v>1989.92</v>
      </c>
      <c r="T211" s="1272">
        <v>381.12</v>
      </c>
      <c r="U211" s="1272">
        <v>289.23</v>
      </c>
      <c r="V211" s="1272">
        <v>2108.9899999999998</v>
      </c>
      <c r="W211" s="1272">
        <v>843.89</v>
      </c>
      <c r="X211" s="1272">
        <v>2127.0300000000002</v>
      </c>
      <c r="Y211" s="1272">
        <v>1937.02</v>
      </c>
      <c r="Z211" s="1272">
        <v>343.15</v>
      </c>
      <c r="AA211" s="997">
        <f t="shared" si="17"/>
        <v>19021.68</v>
      </c>
      <c r="AB211" s="1273"/>
      <c r="AC211" s="997">
        <f t="shared" si="18"/>
        <v>0</v>
      </c>
    </row>
    <row r="212" spans="1:29">
      <c r="A212" s="1287" t="s">
        <v>2674</v>
      </c>
      <c r="B212" s="1303" t="s">
        <v>832</v>
      </c>
      <c r="C212" s="1300" t="s">
        <v>2590</v>
      </c>
      <c r="D212" s="1257" t="s">
        <v>236</v>
      </c>
      <c r="E212" s="1272">
        <v>225</v>
      </c>
      <c r="F212" s="1272">
        <v>170</v>
      </c>
      <c r="G212" s="1272">
        <v>370</v>
      </c>
      <c r="H212" s="1272">
        <v>100</v>
      </c>
      <c r="I212" s="1272">
        <v>130</v>
      </c>
      <c r="J212" s="1272">
        <v>25</v>
      </c>
      <c r="K212" s="1272">
        <v>15</v>
      </c>
      <c r="L212" s="1272">
        <v>3</v>
      </c>
      <c r="M212" s="1272">
        <v>10</v>
      </c>
      <c r="N212" s="1272">
        <v>15</v>
      </c>
      <c r="O212" s="1272">
        <v>160</v>
      </c>
      <c r="P212" s="1272">
        <v>25</v>
      </c>
      <c r="Q212" s="1272">
        <v>5</v>
      </c>
      <c r="R212" s="1272">
        <v>3</v>
      </c>
      <c r="S212" s="1272">
        <v>80</v>
      </c>
      <c r="T212" s="1272">
        <v>15</v>
      </c>
      <c r="U212" s="1272">
        <v>12</v>
      </c>
      <c r="V212" s="1272">
        <v>185</v>
      </c>
      <c r="W212" s="1272">
        <v>75</v>
      </c>
      <c r="X212" s="1272">
        <v>85</v>
      </c>
      <c r="Y212" s="1272">
        <v>170</v>
      </c>
      <c r="Z212" s="1272">
        <v>15</v>
      </c>
      <c r="AA212" s="997">
        <f t="shared" si="17"/>
        <v>1893</v>
      </c>
      <c r="AB212" s="1273"/>
      <c r="AC212" s="997">
        <f t="shared" si="18"/>
        <v>0</v>
      </c>
    </row>
    <row r="213" spans="1:29">
      <c r="A213" s="1287" t="s">
        <v>2675</v>
      </c>
      <c r="B213" s="1303" t="s">
        <v>833</v>
      </c>
      <c r="C213" s="1300" t="s">
        <v>2591</v>
      </c>
      <c r="D213" s="1257" t="s">
        <v>18</v>
      </c>
      <c r="E213" s="1272">
        <v>9</v>
      </c>
      <c r="F213" s="1272">
        <v>4</v>
      </c>
      <c r="G213" s="1272">
        <v>10</v>
      </c>
      <c r="H213" s="1272">
        <v>2</v>
      </c>
      <c r="I213" s="1272">
        <v>6</v>
      </c>
      <c r="J213" s="1272">
        <v>4</v>
      </c>
      <c r="K213" s="1272">
        <v>3</v>
      </c>
      <c r="L213" s="1272"/>
      <c r="M213" s="1272">
        <v>1</v>
      </c>
      <c r="N213" s="1272">
        <v>1</v>
      </c>
      <c r="O213" s="1272">
        <v>7</v>
      </c>
      <c r="P213" s="1272">
        <v>4</v>
      </c>
      <c r="Q213" s="1272"/>
      <c r="R213" s="1272"/>
      <c r="S213" s="1272">
        <v>14</v>
      </c>
      <c r="T213" s="1272">
        <v>2</v>
      </c>
      <c r="U213" s="1272">
        <v>2</v>
      </c>
      <c r="V213" s="1272">
        <v>15</v>
      </c>
      <c r="W213" s="1272">
        <v>5</v>
      </c>
      <c r="X213" s="1272">
        <v>12</v>
      </c>
      <c r="Y213" s="1272">
        <v>13</v>
      </c>
      <c r="Z213" s="1272">
        <v>2</v>
      </c>
      <c r="AA213" s="997">
        <f t="shared" si="17"/>
        <v>116</v>
      </c>
      <c r="AB213" s="1273"/>
      <c r="AC213" s="997">
        <f t="shared" si="18"/>
        <v>0</v>
      </c>
    </row>
  </sheetData>
  <sheetProtection algorithmName="SHA-512" hashValue="x/UIvO2a1fXZ9fOBMSh/fxAJUEaI1BYPZKmj1pGCq4+JK5g5KHJw1Ibu2aWYNLbPwKxjxlFdNXZyhlY3FhnF2Q==" saltValue="0luTWRgI2yhVyaniXeLg4A==" spinCount="100000" sheet="1" objects="1" scenarios="1"/>
  <mergeCells count="7">
    <mergeCell ref="AB2:AB3"/>
    <mergeCell ref="AC2:AC3"/>
    <mergeCell ref="A2:A3"/>
    <mergeCell ref="B2:B3"/>
    <mergeCell ref="C2:C3"/>
    <mergeCell ref="D2:D3"/>
    <mergeCell ref="AA2:AA3"/>
  </mergeCells>
  <phoneticPr fontId="4"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148"/>
  <sheetViews>
    <sheetView view="pageBreakPreview" zoomScale="55" zoomScaleNormal="60" zoomScaleSheetLayoutView="55" workbookViewId="0">
      <pane ySplit="3" topLeftCell="A56" activePane="bottomLeft" state="frozen"/>
      <selection pane="bottomLeft" activeCell="E1" sqref="E1:Z1048576"/>
    </sheetView>
  </sheetViews>
  <sheetFormatPr defaultRowHeight="14.25"/>
  <cols>
    <col min="1" max="1" width="12.85546875" style="1107" customWidth="1"/>
    <col min="2" max="2" width="80.140625" style="1107" customWidth="1"/>
    <col min="3" max="3" width="15" style="1476" customWidth="1"/>
    <col min="4" max="4" width="9.140625" style="1107" customWidth="1"/>
    <col min="5" max="26" width="16.7109375" style="1131" hidden="1" customWidth="1"/>
    <col min="27" max="27" width="12.5703125" style="1107" customWidth="1"/>
    <col min="28" max="29" width="15.140625" style="1107" customWidth="1"/>
    <col min="30" max="16384" width="9.140625" style="1107"/>
  </cols>
  <sheetData>
    <row r="1" spans="1:29" ht="15" thickBot="1">
      <c r="A1" s="1103" t="s">
        <v>2252</v>
      </c>
      <c r="B1" s="1104"/>
      <c r="C1" s="1352" t="s">
        <v>1176</v>
      </c>
      <c r="D1" s="1104"/>
      <c r="E1" s="1104"/>
      <c r="F1" s="1104"/>
      <c r="G1" s="1104"/>
      <c r="H1" s="1104"/>
      <c r="I1" s="1104"/>
      <c r="J1" s="1104"/>
      <c r="K1" s="1104"/>
      <c r="L1" s="1104"/>
      <c r="M1" s="1104"/>
      <c r="N1" s="1104"/>
      <c r="O1" s="1104"/>
      <c r="P1" s="1104"/>
      <c r="Q1" s="1104"/>
      <c r="R1" s="1104"/>
      <c r="S1" s="1104"/>
      <c r="T1" s="1104"/>
      <c r="U1" s="1104"/>
      <c r="V1" s="1104"/>
      <c r="W1" s="1104"/>
      <c r="X1" s="1104"/>
      <c r="Y1" s="1104"/>
      <c r="Z1" s="1104"/>
      <c r="AA1" s="1105"/>
      <c r="AB1" s="1105"/>
      <c r="AC1" s="1106"/>
    </row>
    <row r="2" spans="1:29" ht="14.25" customHeight="1">
      <c r="A2" s="1313" t="s">
        <v>222</v>
      </c>
      <c r="B2" s="1310" t="s">
        <v>223</v>
      </c>
      <c r="C2" s="1471" t="s">
        <v>230</v>
      </c>
      <c r="D2" s="1310" t="s">
        <v>224</v>
      </c>
      <c r="E2" s="1108"/>
      <c r="F2" s="1108"/>
      <c r="G2" s="1108"/>
      <c r="H2" s="1108"/>
      <c r="I2" s="1108"/>
      <c r="J2" s="1108"/>
      <c r="K2" s="1108"/>
      <c r="L2" s="1108"/>
      <c r="M2" s="1109"/>
      <c r="N2" s="1109"/>
      <c r="O2" s="1109"/>
      <c r="P2" s="1109"/>
      <c r="Q2" s="1109"/>
      <c r="R2" s="1109"/>
      <c r="S2" s="1109"/>
      <c r="T2" s="1109"/>
      <c r="U2" s="1109"/>
      <c r="V2" s="1109"/>
      <c r="W2" s="1109"/>
      <c r="X2" s="1109"/>
      <c r="Y2" s="1109"/>
      <c r="Z2" s="1109"/>
      <c r="AA2" s="1310" t="s">
        <v>341</v>
      </c>
      <c r="AB2" s="1310" t="s">
        <v>342</v>
      </c>
      <c r="AC2" s="1312" t="s">
        <v>343</v>
      </c>
    </row>
    <row r="3" spans="1:29" ht="67.5" customHeight="1" thickBot="1">
      <c r="A3" s="1314"/>
      <c r="B3" s="1311"/>
      <c r="C3" s="1472"/>
      <c r="D3" s="1311"/>
      <c r="E3" s="1108" t="s">
        <v>1177</v>
      </c>
      <c r="F3" s="1108" t="s">
        <v>1178</v>
      </c>
      <c r="G3" s="1108" t="s">
        <v>1179</v>
      </c>
      <c r="H3" s="1108" t="s">
        <v>1180</v>
      </c>
      <c r="I3" s="1108" t="s">
        <v>1181</v>
      </c>
      <c r="J3" s="1108" t="s">
        <v>1182</v>
      </c>
      <c r="K3" s="1108" t="s">
        <v>1183</v>
      </c>
      <c r="L3" s="1108" t="s">
        <v>1184</v>
      </c>
      <c r="M3" s="1108" t="s">
        <v>1185</v>
      </c>
      <c r="N3" s="1108" t="s">
        <v>1186</v>
      </c>
      <c r="O3" s="1108" t="s">
        <v>1187</v>
      </c>
      <c r="P3" s="1108" t="s">
        <v>2785</v>
      </c>
      <c r="Q3" s="1108" t="s">
        <v>2799</v>
      </c>
      <c r="R3" s="1108" t="s">
        <v>2800</v>
      </c>
      <c r="S3" s="1108" t="s">
        <v>2801</v>
      </c>
      <c r="T3" s="1108" t="s">
        <v>2802</v>
      </c>
      <c r="U3" s="1108" t="s">
        <v>2803</v>
      </c>
      <c r="V3" s="1108" t="s">
        <v>2791</v>
      </c>
      <c r="W3" s="1108" t="s">
        <v>2804</v>
      </c>
      <c r="X3" s="1108" t="s">
        <v>2805</v>
      </c>
      <c r="Y3" s="1108" t="s">
        <v>2731</v>
      </c>
      <c r="Z3" s="1108" t="s">
        <v>2730</v>
      </c>
      <c r="AA3" s="1311"/>
      <c r="AB3" s="1311"/>
      <c r="AC3" s="1312"/>
    </row>
    <row r="4" spans="1:29">
      <c r="A4" s="1110">
        <v>6</v>
      </c>
      <c r="B4" s="1111" t="s">
        <v>1176</v>
      </c>
      <c r="C4" s="1158"/>
      <c r="D4" s="1112"/>
      <c r="E4" s="1113"/>
      <c r="F4" s="1113"/>
      <c r="G4" s="1113"/>
      <c r="H4" s="1113"/>
      <c r="I4" s="1113"/>
      <c r="J4" s="1113"/>
      <c r="K4" s="1113"/>
      <c r="L4" s="1113"/>
      <c r="M4" s="1113"/>
      <c r="N4" s="1113"/>
      <c r="O4" s="1113"/>
      <c r="P4" s="1113"/>
      <c r="Q4" s="1113"/>
      <c r="R4" s="1113"/>
      <c r="S4" s="1113"/>
      <c r="T4" s="1113"/>
      <c r="U4" s="1113"/>
      <c r="V4" s="1113"/>
      <c r="W4" s="1113"/>
      <c r="X4" s="1113"/>
      <c r="Y4" s="1113"/>
      <c r="Z4" s="1113"/>
      <c r="AA4" s="1114"/>
      <c r="AB4" s="1115"/>
      <c r="AC4" s="1116">
        <f>AC5</f>
        <v>0</v>
      </c>
    </row>
    <row r="5" spans="1:29">
      <c r="A5" s="1117" t="s">
        <v>97</v>
      </c>
      <c r="B5" s="1118" t="s">
        <v>388</v>
      </c>
      <c r="C5" s="1473"/>
      <c r="D5" s="1119"/>
      <c r="E5" s="1120"/>
      <c r="F5" s="1120"/>
      <c r="G5" s="1120"/>
      <c r="H5" s="1120"/>
      <c r="I5" s="1120"/>
      <c r="J5" s="1120"/>
      <c r="K5" s="1120"/>
      <c r="L5" s="1120"/>
      <c r="M5" s="1120"/>
      <c r="N5" s="1120"/>
      <c r="O5" s="1120"/>
      <c r="P5" s="1120"/>
      <c r="Q5" s="1120"/>
      <c r="R5" s="1120"/>
      <c r="S5" s="1120"/>
      <c r="T5" s="1120"/>
      <c r="U5" s="1120"/>
      <c r="V5" s="1120"/>
      <c r="W5" s="1120"/>
      <c r="X5" s="1120"/>
      <c r="Y5" s="1120"/>
      <c r="Z5" s="1120"/>
      <c r="AA5" s="1121"/>
      <c r="AB5" s="1121"/>
      <c r="AC5" s="1121">
        <f>SUM(AC6:AC148)</f>
        <v>0</v>
      </c>
    </row>
    <row r="6" spans="1:29">
      <c r="A6" s="1122" t="s">
        <v>1995</v>
      </c>
      <c r="B6" s="731" t="s">
        <v>1290</v>
      </c>
      <c r="C6" s="1474" t="s">
        <v>2534</v>
      </c>
      <c r="D6" s="689"/>
      <c r="E6" s="1123"/>
      <c r="F6" s="1123"/>
      <c r="G6" s="1123"/>
      <c r="H6" s="1123"/>
      <c r="I6" s="1123"/>
      <c r="J6" s="1123"/>
      <c r="K6" s="1123"/>
      <c r="L6" s="1123"/>
      <c r="M6" s="1123"/>
      <c r="N6" s="1123"/>
      <c r="O6" s="1123"/>
      <c r="P6" s="1123"/>
      <c r="Q6" s="1123"/>
      <c r="R6" s="1123"/>
      <c r="S6" s="1123"/>
      <c r="T6" s="1123"/>
      <c r="U6" s="1123"/>
      <c r="V6" s="1123"/>
      <c r="W6" s="1123"/>
      <c r="X6" s="1123"/>
      <c r="Y6" s="1123"/>
      <c r="Z6" s="1123"/>
      <c r="AA6" s="997"/>
      <c r="AB6" s="1124"/>
      <c r="AC6" s="997"/>
    </row>
    <row r="7" spans="1:29">
      <c r="A7" s="1125" t="s">
        <v>1990</v>
      </c>
      <c r="B7" s="747" t="s">
        <v>1299</v>
      </c>
      <c r="C7" s="1475"/>
      <c r="D7" s="746" t="s">
        <v>11</v>
      </c>
      <c r="E7" s="1123">
        <v>1441.06</v>
      </c>
      <c r="F7" s="1123"/>
      <c r="G7" s="1123">
        <v>2382.6999999999998</v>
      </c>
      <c r="H7" s="1123"/>
      <c r="I7" s="1123">
        <v>645.98</v>
      </c>
      <c r="J7" s="1123"/>
      <c r="K7" s="1123"/>
      <c r="L7" s="1123"/>
      <c r="M7" s="1123"/>
      <c r="N7" s="1123"/>
      <c r="O7" s="1123">
        <v>602.13</v>
      </c>
      <c r="P7" s="1123"/>
      <c r="Q7" s="1123"/>
      <c r="R7" s="1123"/>
      <c r="S7" s="1123"/>
      <c r="T7" s="1123"/>
      <c r="U7" s="1123"/>
      <c r="V7" s="1123"/>
      <c r="W7" s="1123"/>
      <c r="X7" s="1123"/>
      <c r="Y7" s="1123"/>
      <c r="Z7" s="1123"/>
      <c r="AA7" s="997">
        <f>SUM(E7:Z7)</f>
        <v>5071.87</v>
      </c>
      <c r="AB7" s="1126"/>
      <c r="AC7" s="997">
        <f t="shared" ref="AC7:AC65" si="0">AA7*AB7</f>
        <v>0</v>
      </c>
    </row>
    <row r="8" spans="1:29">
      <c r="A8" s="1125" t="s">
        <v>1991</v>
      </c>
      <c r="B8" s="747" t="s">
        <v>1300</v>
      </c>
      <c r="C8" s="1475"/>
      <c r="D8" s="746" t="s">
        <v>11</v>
      </c>
      <c r="E8" s="1123"/>
      <c r="F8" s="1123">
        <v>496.72</v>
      </c>
      <c r="G8" s="1123"/>
      <c r="H8" s="1123">
        <v>445</v>
      </c>
      <c r="I8" s="1123"/>
      <c r="J8" s="1123"/>
      <c r="K8" s="1123"/>
      <c r="L8" s="1123"/>
      <c r="M8" s="1123"/>
      <c r="N8" s="1123"/>
      <c r="O8" s="1123"/>
      <c r="P8" s="1123"/>
      <c r="Q8" s="1123"/>
      <c r="R8" s="1123"/>
      <c r="S8" s="1123"/>
      <c r="T8" s="1123"/>
      <c r="U8" s="1123"/>
      <c r="V8" s="1123"/>
      <c r="W8" s="1123"/>
      <c r="X8" s="1123"/>
      <c r="Y8" s="1123"/>
      <c r="Z8" s="1123"/>
      <c r="AA8" s="997">
        <f t="shared" ref="AA8:AA10" si="1">SUM(E8:Z8)</f>
        <v>941.72</v>
      </c>
      <c r="AB8" s="1126"/>
      <c r="AC8" s="997">
        <f t="shared" si="0"/>
        <v>0</v>
      </c>
    </row>
    <row r="9" spans="1:29">
      <c r="A9" s="1125" t="s">
        <v>1992</v>
      </c>
      <c r="B9" s="747" t="s">
        <v>1301</v>
      </c>
      <c r="C9" s="1475"/>
      <c r="D9" s="746" t="s">
        <v>11</v>
      </c>
      <c r="E9" s="1123"/>
      <c r="F9" s="1123"/>
      <c r="G9" s="1123"/>
      <c r="H9" s="1123"/>
      <c r="I9" s="1123">
        <v>172.44</v>
      </c>
      <c r="J9" s="1123">
        <v>619.64</v>
      </c>
      <c r="K9" s="1123">
        <v>396.92</v>
      </c>
      <c r="L9" s="1123">
        <v>58.21</v>
      </c>
      <c r="M9" s="1123">
        <v>186.92</v>
      </c>
      <c r="N9" s="1123"/>
      <c r="O9" s="1123"/>
      <c r="P9" s="1123">
        <v>660.07</v>
      </c>
      <c r="Q9" s="1123">
        <v>128.32</v>
      </c>
      <c r="R9" s="1123">
        <v>72.63</v>
      </c>
      <c r="S9" s="1123">
        <v>1264.06</v>
      </c>
      <c r="T9" s="1123">
        <v>381.12</v>
      </c>
      <c r="U9" s="1123">
        <v>289.23</v>
      </c>
      <c r="V9" s="1123"/>
      <c r="W9" s="1123"/>
      <c r="X9" s="1123">
        <v>449.35</v>
      </c>
      <c r="Y9" s="1123"/>
      <c r="Z9" s="1123">
        <v>343.15</v>
      </c>
      <c r="AA9" s="997">
        <f t="shared" si="1"/>
        <v>5022.0600000000004</v>
      </c>
      <c r="AB9" s="1126"/>
      <c r="AC9" s="997">
        <f t="shared" si="0"/>
        <v>0</v>
      </c>
    </row>
    <row r="10" spans="1:29">
      <c r="A10" s="1125" t="s">
        <v>1993</v>
      </c>
      <c r="B10" s="747" t="s">
        <v>1302</v>
      </c>
      <c r="C10" s="1475"/>
      <c r="D10" s="746" t="s">
        <v>11</v>
      </c>
      <c r="E10" s="1123"/>
      <c r="F10" s="1123"/>
      <c r="G10" s="1123"/>
      <c r="H10" s="1123"/>
      <c r="I10" s="1123"/>
      <c r="J10" s="1123"/>
      <c r="K10" s="1123"/>
      <c r="L10" s="1123"/>
      <c r="M10" s="1123"/>
      <c r="N10" s="1123">
        <v>168.66</v>
      </c>
      <c r="O10" s="1123">
        <v>523.92999999999995</v>
      </c>
      <c r="P10" s="1123"/>
      <c r="Q10" s="1123"/>
      <c r="R10" s="1123"/>
      <c r="S10" s="1123">
        <v>725.86</v>
      </c>
      <c r="T10" s="1123"/>
      <c r="U10" s="1123"/>
      <c r="V10" s="1123">
        <v>2108.9899999999998</v>
      </c>
      <c r="W10" s="1123">
        <v>843.89</v>
      </c>
      <c r="X10" s="1123">
        <v>1677.68</v>
      </c>
      <c r="Y10" s="1123">
        <v>1937.02</v>
      </c>
      <c r="Z10" s="1123"/>
      <c r="AA10" s="997">
        <f t="shared" si="1"/>
        <v>7986.0300000000007</v>
      </c>
      <c r="AB10" s="1126"/>
      <c r="AC10" s="997">
        <f t="shared" si="0"/>
        <v>0</v>
      </c>
    </row>
    <row r="11" spans="1:29" ht="85.5">
      <c r="A11" s="1122" t="s">
        <v>1994</v>
      </c>
      <c r="B11" s="731" t="s">
        <v>2260</v>
      </c>
      <c r="C11" s="1474"/>
      <c r="D11" s="689"/>
      <c r="E11" s="1123"/>
      <c r="F11" s="1123"/>
      <c r="G11" s="1123"/>
      <c r="H11" s="1123"/>
      <c r="I11" s="1123"/>
      <c r="J11" s="1123"/>
      <c r="K11" s="1123"/>
      <c r="L11" s="1123"/>
      <c r="M11" s="1123"/>
      <c r="N11" s="1123"/>
      <c r="O11" s="1123"/>
      <c r="P11" s="1123"/>
      <c r="Q11" s="1123"/>
      <c r="R11" s="1123"/>
      <c r="S11" s="1123"/>
      <c r="T11" s="1123"/>
      <c r="U11" s="1123"/>
      <c r="V11" s="1123"/>
      <c r="W11" s="1123"/>
      <c r="X11" s="1123"/>
      <c r="Y11" s="1123"/>
      <c r="Z11" s="1123"/>
      <c r="AA11" s="997"/>
      <c r="AB11" s="1124"/>
      <c r="AC11" s="997"/>
    </row>
    <row r="12" spans="1:29">
      <c r="A12" s="1125" t="s">
        <v>1996</v>
      </c>
      <c r="B12" s="1127" t="s">
        <v>1188</v>
      </c>
      <c r="C12" s="1475"/>
      <c r="D12" s="746" t="s">
        <v>18</v>
      </c>
      <c r="E12" s="1123"/>
      <c r="F12" s="1123"/>
      <c r="G12" s="1123">
        <v>1</v>
      </c>
      <c r="H12" s="1123"/>
      <c r="I12" s="1123">
        <v>4</v>
      </c>
      <c r="J12" s="1123"/>
      <c r="K12" s="1123"/>
      <c r="L12" s="1123"/>
      <c r="M12" s="1123"/>
      <c r="N12" s="1123"/>
      <c r="O12" s="1123">
        <v>3</v>
      </c>
      <c r="P12" s="1123"/>
      <c r="Q12" s="1123"/>
      <c r="R12" s="1123"/>
      <c r="S12" s="1123"/>
      <c r="T12" s="1123"/>
      <c r="U12" s="1123"/>
      <c r="V12" s="1123"/>
      <c r="W12" s="1123"/>
      <c r="X12" s="1123"/>
      <c r="Y12" s="1123"/>
      <c r="Z12" s="1123"/>
      <c r="AA12" s="997">
        <f>SUM(E12:Z12)</f>
        <v>8</v>
      </c>
      <c r="AB12" s="1126"/>
      <c r="AC12" s="997">
        <f t="shared" si="0"/>
        <v>0</v>
      </c>
    </row>
    <row r="13" spans="1:29">
      <c r="A13" s="1125" t="s">
        <v>1997</v>
      </c>
      <c r="B13" s="1127" t="s">
        <v>1189</v>
      </c>
      <c r="C13" s="1475"/>
      <c r="D13" s="790" t="s">
        <v>18</v>
      </c>
      <c r="E13" s="1123"/>
      <c r="F13" s="1123"/>
      <c r="G13" s="1123"/>
      <c r="H13" s="1123"/>
      <c r="I13" s="1123"/>
      <c r="J13" s="1123"/>
      <c r="K13" s="1123"/>
      <c r="L13" s="1123"/>
      <c r="M13" s="1123"/>
      <c r="N13" s="1123"/>
      <c r="O13" s="1123">
        <v>2</v>
      </c>
      <c r="P13" s="1123"/>
      <c r="Q13" s="1123"/>
      <c r="R13" s="1123"/>
      <c r="S13" s="1123"/>
      <c r="T13" s="1123"/>
      <c r="U13" s="1123"/>
      <c r="V13" s="1123"/>
      <c r="W13" s="1123"/>
      <c r="X13" s="1123"/>
      <c r="Y13" s="1123"/>
      <c r="Z13" s="1123"/>
      <c r="AA13" s="997">
        <f t="shared" ref="AA13:AA76" si="2">SUM(E13:Z13)</f>
        <v>2</v>
      </c>
      <c r="AB13" s="1126"/>
      <c r="AC13" s="997">
        <f t="shared" si="0"/>
        <v>0</v>
      </c>
    </row>
    <row r="14" spans="1:29">
      <c r="A14" s="1125" t="s">
        <v>1998</v>
      </c>
      <c r="B14" s="1127" t="s">
        <v>1190</v>
      </c>
      <c r="C14" s="1475"/>
      <c r="D14" s="790" t="s">
        <v>18</v>
      </c>
      <c r="E14" s="1123"/>
      <c r="F14" s="1123"/>
      <c r="G14" s="1123">
        <v>3</v>
      </c>
      <c r="H14" s="1123"/>
      <c r="I14" s="1123">
        <v>2</v>
      </c>
      <c r="J14" s="1123"/>
      <c r="K14" s="1123"/>
      <c r="L14" s="1123"/>
      <c r="M14" s="1123"/>
      <c r="N14" s="1123"/>
      <c r="O14" s="1123">
        <v>3</v>
      </c>
      <c r="P14" s="1123"/>
      <c r="Q14" s="1123"/>
      <c r="R14" s="1123"/>
      <c r="S14" s="1123"/>
      <c r="T14" s="1123"/>
      <c r="U14" s="1123"/>
      <c r="V14" s="1123"/>
      <c r="W14" s="1123"/>
      <c r="X14" s="1123"/>
      <c r="Y14" s="1123"/>
      <c r="Z14" s="1123"/>
      <c r="AA14" s="997">
        <f t="shared" si="2"/>
        <v>8</v>
      </c>
      <c r="AB14" s="1126"/>
      <c r="AC14" s="997">
        <f t="shared" si="0"/>
        <v>0</v>
      </c>
    </row>
    <row r="15" spans="1:29">
      <c r="A15" s="1125" t="s">
        <v>1999</v>
      </c>
      <c r="B15" s="1127" t="s">
        <v>1191</v>
      </c>
      <c r="C15" s="1475"/>
      <c r="D15" s="790" t="s">
        <v>18</v>
      </c>
      <c r="E15" s="1123"/>
      <c r="F15" s="1123">
        <v>2</v>
      </c>
      <c r="G15" s="1123">
        <v>9</v>
      </c>
      <c r="H15" s="1123"/>
      <c r="I15" s="1123">
        <v>1</v>
      </c>
      <c r="J15" s="1123"/>
      <c r="K15" s="1123"/>
      <c r="L15" s="1123"/>
      <c r="M15" s="1123"/>
      <c r="N15" s="1123"/>
      <c r="O15" s="1123">
        <v>3</v>
      </c>
      <c r="P15" s="1123"/>
      <c r="Q15" s="1123"/>
      <c r="R15" s="1123"/>
      <c r="S15" s="1123"/>
      <c r="T15" s="1123"/>
      <c r="U15" s="1123"/>
      <c r="V15" s="1123"/>
      <c r="W15" s="1123"/>
      <c r="X15" s="1123"/>
      <c r="Y15" s="1123"/>
      <c r="Z15" s="1123"/>
      <c r="AA15" s="997">
        <f t="shared" si="2"/>
        <v>15</v>
      </c>
      <c r="AB15" s="1126"/>
      <c r="AC15" s="997">
        <f t="shared" si="0"/>
        <v>0</v>
      </c>
    </row>
    <row r="16" spans="1:29">
      <c r="A16" s="1125" t="s">
        <v>2000</v>
      </c>
      <c r="B16" s="1128" t="s">
        <v>1192</v>
      </c>
      <c r="C16" s="1475"/>
      <c r="D16" s="790" t="s">
        <v>18</v>
      </c>
      <c r="E16" s="1123"/>
      <c r="F16" s="1123">
        <v>2</v>
      </c>
      <c r="G16" s="1123"/>
      <c r="H16" s="1123">
        <v>2</v>
      </c>
      <c r="I16" s="1123"/>
      <c r="J16" s="1123"/>
      <c r="K16" s="1123"/>
      <c r="L16" s="1123"/>
      <c r="M16" s="1123"/>
      <c r="N16" s="1123"/>
      <c r="O16" s="1123"/>
      <c r="P16" s="1123"/>
      <c r="Q16" s="1123"/>
      <c r="R16" s="1123"/>
      <c r="S16" s="1123"/>
      <c r="T16" s="1123"/>
      <c r="U16" s="1123"/>
      <c r="V16" s="1123"/>
      <c r="W16" s="1123"/>
      <c r="X16" s="1123"/>
      <c r="Y16" s="1123"/>
      <c r="Z16" s="1123"/>
      <c r="AA16" s="997">
        <f t="shared" si="2"/>
        <v>4</v>
      </c>
      <c r="AB16" s="1126"/>
      <c r="AC16" s="997">
        <f t="shared" si="0"/>
        <v>0</v>
      </c>
    </row>
    <row r="17" spans="1:29">
      <c r="A17" s="1125" t="s">
        <v>2001</v>
      </c>
      <c r="B17" s="1128" t="s">
        <v>1193</v>
      </c>
      <c r="C17" s="1475"/>
      <c r="D17" s="790" t="s">
        <v>18</v>
      </c>
      <c r="E17" s="1123"/>
      <c r="F17" s="1123">
        <v>2</v>
      </c>
      <c r="G17" s="1123"/>
      <c r="H17" s="1123">
        <v>4</v>
      </c>
      <c r="I17" s="1123"/>
      <c r="J17" s="1123"/>
      <c r="K17" s="1123"/>
      <c r="L17" s="1123"/>
      <c r="M17" s="1123"/>
      <c r="N17" s="1123"/>
      <c r="O17" s="1123"/>
      <c r="P17" s="1123"/>
      <c r="Q17" s="1123"/>
      <c r="R17" s="1123"/>
      <c r="S17" s="1123"/>
      <c r="T17" s="1123"/>
      <c r="U17" s="1123"/>
      <c r="V17" s="1123"/>
      <c r="W17" s="1123"/>
      <c r="X17" s="1123"/>
      <c r="Y17" s="1123"/>
      <c r="Z17" s="1123"/>
      <c r="AA17" s="997">
        <f t="shared" si="2"/>
        <v>6</v>
      </c>
      <c r="AB17" s="1126"/>
      <c r="AC17" s="997">
        <f t="shared" si="0"/>
        <v>0</v>
      </c>
    </row>
    <row r="18" spans="1:29" ht="85.5">
      <c r="A18" s="1122" t="s">
        <v>2002</v>
      </c>
      <c r="B18" s="1129" t="s">
        <v>2261</v>
      </c>
      <c r="C18" s="1421"/>
      <c r="D18" s="790" t="s">
        <v>18</v>
      </c>
      <c r="E18" s="1123"/>
      <c r="F18" s="1123"/>
      <c r="G18" s="1123"/>
      <c r="H18" s="1123"/>
      <c r="I18" s="1123"/>
      <c r="J18" s="1123"/>
      <c r="K18" s="1123"/>
      <c r="L18" s="1123"/>
      <c r="M18" s="1123"/>
      <c r="N18" s="1123"/>
      <c r="O18" s="1123"/>
      <c r="P18" s="1123"/>
      <c r="Q18" s="1123"/>
      <c r="R18" s="1123"/>
      <c r="S18" s="1123"/>
      <c r="T18" s="1123"/>
      <c r="U18" s="1123"/>
      <c r="V18" s="1123"/>
      <c r="W18" s="1123"/>
      <c r="X18" s="1123"/>
      <c r="Y18" s="1123"/>
      <c r="Z18" s="1123"/>
      <c r="AA18" s="997"/>
      <c r="AB18" s="1124"/>
      <c r="AC18" s="997"/>
    </row>
    <row r="19" spans="1:29">
      <c r="A19" s="1125" t="s">
        <v>2003</v>
      </c>
      <c r="B19" s="1127" t="s">
        <v>1291</v>
      </c>
      <c r="C19" s="1475"/>
      <c r="D19" s="790" t="s">
        <v>18</v>
      </c>
      <c r="E19" s="1123"/>
      <c r="F19" s="1123"/>
      <c r="G19" s="1123"/>
      <c r="H19" s="1123"/>
      <c r="I19" s="1123">
        <v>2</v>
      </c>
      <c r="J19" s="1123">
        <v>10</v>
      </c>
      <c r="K19" s="1123">
        <v>4</v>
      </c>
      <c r="L19" s="1123"/>
      <c r="M19" s="1123">
        <v>2</v>
      </c>
      <c r="N19" s="1123"/>
      <c r="O19" s="1123"/>
      <c r="P19" s="1123"/>
      <c r="Q19" s="1123">
        <v>4</v>
      </c>
      <c r="R19" s="1123"/>
      <c r="S19" s="1123">
        <v>4</v>
      </c>
      <c r="T19" s="1123"/>
      <c r="U19" s="1123"/>
      <c r="V19" s="1123"/>
      <c r="W19" s="1123"/>
      <c r="X19" s="1123"/>
      <c r="Y19" s="1123"/>
      <c r="Z19" s="1123">
        <v>2</v>
      </c>
      <c r="AA19" s="997">
        <f t="shared" si="2"/>
        <v>28</v>
      </c>
      <c r="AB19" s="1126"/>
      <c r="AC19" s="997">
        <f t="shared" si="0"/>
        <v>0</v>
      </c>
    </row>
    <row r="20" spans="1:29">
      <c r="A20" s="1125" t="s">
        <v>2004</v>
      </c>
      <c r="B20" s="1127" t="s">
        <v>1292</v>
      </c>
      <c r="C20" s="1475"/>
      <c r="D20" s="790" t="s">
        <v>18</v>
      </c>
      <c r="E20" s="1123"/>
      <c r="F20" s="1123"/>
      <c r="G20" s="1123"/>
      <c r="H20" s="1123"/>
      <c r="I20" s="1123">
        <v>2</v>
      </c>
      <c r="J20" s="1123">
        <v>4</v>
      </c>
      <c r="K20" s="1123">
        <v>4</v>
      </c>
      <c r="L20" s="1123">
        <v>2</v>
      </c>
      <c r="M20" s="1123">
        <v>2</v>
      </c>
      <c r="N20" s="1123"/>
      <c r="O20" s="1123"/>
      <c r="P20" s="1123"/>
      <c r="Q20" s="1123"/>
      <c r="R20" s="1123"/>
      <c r="S20" s="1123"/>
      <c r="T20" s="1123">
        <v>1</v>
      </c>
      <c r="U20" s="1123">
        <v>6</v>
      </c>
      <c r="V20" s="1123"/>
      <c r="W20" s="1123"/>
      <c r="X20" s="1123"/>
      <c r="Y20" s="1123"/>
      <c r="Z20" s="1123">
        <v>1</v>
      </c>
      <c r="AA20" s="997">
        <f t="shared" si="2"/>
        <v>22</v>
      </c>
      <c r="AB20" s="1126"/>
      <c r="AC20" s="997">
        <f t="shared" si="0"/>
        <v>0</v>
      </c>
    </row>
    <row r="21" spans="1:29">
      <c r="A21" s="1125" t="s">
        <v>2005</v>
      </c>
      <c r="B21" s="1127" t="s">
        <v>1293</v>
      </c>
      <c r="C21" s="1475"/>
      <c r="D21" s="790" t="s">
        <v>18</v>
      </c>
      <c r="E21" s="1123"/>
      <c r="F21" s="1130"/>
      <c r="G21" s="1123"/>
      <c r="H21" s="1123"/>
      <c r="I21" s="1123"/>
      <c r="J21" s="1123">
        <v>1</v>
      </c>
      <c r="K21" s="1123">
        <v>2</v>
      </c>
      <c r="L21" s="1123"/>
      <c r="M21" s="1123">
        <v>2</v>
      </c>
      <c r="N21" s="1123"/>
      <c r="P21" s="1123"/>
      <c r="Q21" s="1123"/>
      <c r="R21" s="1123"/>
      <c r="S21" s="1123"/>
      <c r="T21" s="1123">
        <v>1</v>
      </c>
      <c r="U21" s="1123"/>
      <c r="V21" s="1123"/>
      <c r="W21" s="1123"/>
      <c r="X21" s="1123"/>
      <c r="Y21" s="1123"/>
      <c r="Z21" s="1123">
        <v>1</v>
      </c>
      <c r="AA21" s="997">
        <f t="shared" si="2"/>
        <v>7</v>
      </c>
      <c r="AB21" s="1126"/>
      <c r="AC21" s="997">
        <f t="shared" si="0"/>
        <v>0</v>
      </c>
    </row>
    <row r="22" spans="1:29">
      <c r="A22" s="1125" t="s">
        <v>2006</v>
      </c>
      <c r="B22" s="1127" t="s">
        <v>1294</v>
      </c>
      <c r="C22" s="1475"/>
      <c r="D22" s="790" t="s">
        <v>18</v>
      </c>
      <c r="E22" s="1123"/>
      <c r="F22" s="1130"/>
      <c r="G22" s="1123"/>
      <c r="H22" s="1123"/>
      <c r="I22" s="1123"/>
      <c r="J22" s="1123"/>
      <c r="K22" s="1123"/>
      <c r="L22" s="1123"/>
      <c r="M22" s="1123"/>
      <c r="N22" s="1123"/>
      <c r="O22" s="1123">
        <v>1</v>
      </c>
      <c r="P22" s="1123"/>
      <c r="Q22" s="1123"/>
      <c r="R22" s="1123"/>
      <c r="S22" s="1123">
        <v>4</v>
      </c>
      <c r="T22" s="1123"/>
      <c r="U22" s="1123"/>
      <c r="V22" s="1123">
        <v>6</v>
      </c>
      <c r="W22" s="1123">
        <v>4</v>
      </c>
      <c r="X22" s="1123"/>
      <c r="Y22" s="1123"/>
      <c r="Z22" s="1123"/>
      <c r="AA22" s="997">
        <f t="shared" si="2"/>
        <v>15</v>
      </c>
      <c r="AB22" s="1126"/>
      <c r="AC22" s="997">
        <f t="shared" si="0"/>
        <v>0</v>
      </c>
    </row>
    <row r="23" spans="1:29">
      <c r="A23" s="1125" t="s">
        <v>2007</v>
      </c>
      <c r="B23" s="1127" t="s">
        <v>1295</v>
      </c>
      <c r="C23" s="1475"/>
      <c r="D23" s="790" t="s">
        <v>18</v>
      </c>
      <c r="E23" s="1123"/>
      <c r="F23" s="1130"/>
      <c r="G23" s="1123"/>
      <c r="H23" s="1123"/>
      <c r="I23" s="1123"/>
      <c r="J23" s="1123"/>
      <c r="K23" s="1123"/>
      <c r="L23" s="1123"/>
      <c r="M23" s="1123"/>
      <c r="N23" s="1123"/>
      <c r="O23" s="1123">
        <v>1</v>
      </c>
      <c r="P23" s="1123"/>
      <c r="Q23" s="1123"/>
      <c r="R23" s="1123"/>
      <c r="S23" s="1123"/>
      <c r="T23" s="1123"/>
      <c r="U23" s="1123"/>
      <c r="V23" s="1123">
        <v>7</v>
      </c>
      <c r="W23" s="1123"/>
      <c r="X23" s="1123">
        <v>1</v>
      </c>
      <c r="Y23" s="1123">
        <v>8</v>
      </c>
      <c r="Z23" s="1123"/>
      <c r="AA23" s="997">
        <f t="shared" si="2"/>
        <v>17</v>
      </c>
      <c r="AB23" s="1126"/>
      <c r="AC23" s="997">
        <f t="shared" si="0"/>
        <v>0</v>
      </c>
    </row>
    <row r="24" spans="1:29">
      <c r="A24" s="1125" t="s">
        <v>2008</v>
      </c>
      <c r="B24" s="1127" t="s">
        <v>1296</v>
      </c>
      <c r="C24" s="1475"/>
      <c r="D24" s="790" t="s">
        <v>18</v>
      </c>
      <c r="E24" s="1123"/>
      <c r="F24" s="1130"/>
      <c r="G24" s="1123"/>
      <c r="H24" s="1123"/>
      <c r="I24" s="1123"/>
      <c r="J24" s="1123"/>
      <c r="K24" s="1123"/>
      <c r="L24" s="1123"/>
      <c r="M24" s="1123"/>
      <c r="N24" s="1123"/>
      <c r="O24" s="1123">
        <v>2</v>
      </c>
      <c r="P24" s="1123"/>
      <c r="Q24" s="1123"/>
      <c r="R24" s="1123"/>
      <c r="S24" s="1123"/>
      <c r="T24" s="1123"/>
      <c r="U24" s="1123"/>
      <c r="V24" s="1123">
        <v>4</v>
      </c>
      <c r="W24" s="1123"/>
      <c r="X24" s="1123">
        <v>1</v>
      </c>
      <c r="Y24" s="1123"/>
      <c r="Z24" s="1123"/>
      <c r="AA24" s="997">
        <f t="shared" si="2"/>
        <v>7</v>
      </c>
      <c r="AB24" s="1126"/>
      <c r="AC24" s="997">
        <f t="shared" si="0"/>
        <v>0</v>
      </c>
    </row>
    <row r="25" spans="1:29" ht="63" customHeight="1">
      <c r="A25" s="1122" t="s">
        <v>2009</v>
      </c>
      <c r="B25" s="1132" t="s">
        <v>1298</v>
      </c>
      <c r="C25" s="1327"/>
      <c r="D25" s="737"/>
      <c r="E25" s="1123"/>
      <c r="F25" s="1123"/>
      <c r="G25" s="1123"/>
      <c r="H25" s="1123"/>
      <c r="I25" s="1123"/>
      <c r="J25" s="1123"/>
      <c r="K25" s="1123"/>
      <c r="L25" s="1123"/>
      <c r="M25" s="1123"/>
      <c r="N25" s="1123"/>
      <c r="O25" s="1123"/>
      <c r="P25" s="1123"/>
      <c r="Q25" s="1123"/>
      <c r="R25" s="1123"/>
      <c r="S25" s="1123"/>
      <c r="T25" s="1123"/>
      <c r="U25" s="1123"/>
      <c r="V25" s="1123"/>
      <c r="W25" s="1123"/>
      <c r="X25" s="1123"/>
      <c r="Y25" s="1123"/>
      <c r="Z25" s="1123"/>
      <c r="AA25" s="997"/>
      <c r="AB25" s="1124"/>
      <c r="AC25" s="997"/>
    </row>
    <row r="26" spans="1:29">
      <c r="A26" s="1125" t="s">
        <v>2010</v>
      </c>
      <c r="B26" s="1133" t="s">
        <v>1194</v>
      </c>
      <c r="C26" s="1327"/>
      <c r="D26" s="737" t="s">
        <v>18</v>
      </c>
      <c r="E26" s="1123">
        <v>1</v>
      </c>
      <c r="F26" s="1123"/>
      <c r="G26" s="1123"/>
      <c r="H26" s="1123"/>
      <c r="I26" s="1123"/>
      <c r="J26" s="1123"/>
      <c r="K26" s="1123"/>
      <c r="L26" s="1123"/>
      <c r="M26" s="1123"/>
      <c r="N26" s="1123"/>
      <c r="O26" s="1123"/>
      <c r="P26" s="1123"/>
      <c r="Q26" s="1123"/>
      <c r="R26" s="1123"/>
      <c r="S26" s="1123"/>
      <c r="T26" s="1123"/>
      <c r="U26" s="1123"/>
      <c r="V26" s="1123"/>
      <c r="W26" s="1123"/>
      <c r="X26" s="1123"/>
      <c r="Y26" s="1123"/>
      <c r="Z26" s="1123"/>
      <c r="AA26" s="997">
        <f t="shared" si="2"/>
        <v>1</v>
      </c>
      <c r="AB26" s="1126"/>
      <c r="AC26" s="997">
        <f t="shared" si="0"/>
        <v>0</v>
      </c>
    </row>
    <row r="27" spans="1:29">
      <c r="A27" s="1125" t="s">
        <v>2011</v>
      </c>
      <c r="B27" s="1133" t="s">
        <v>1195</v>
      </c>
      <c r="C27" s="1327"/>
      <c r="D27" s="737" t="s">
        <v>18</v>
      </c>
      <c r="E27" s="1123">
        <v>1</v>
      </c>
      <c r="F27" s="1123"/>
      <c r="G27" s="1123"/>
      <c r="H27" s="1123"/>
      <c r="I27" s="1123"/>
      <c r="J27" s="1123"/>
      <c r="K27" s="1123"/>
      <c r="L27" s="1123"/>
      <c r="M27" s="1123"/>
      <c r="N27" s="1123"/>
      <c r="O27" s="1123"/>
      <c r="P27" s="1123"/>
      <c r="Q27" s="1123"/>
      <c r="R27" s="1123"/>
      <c r="S27" s="1123"/>
      <c r="T27" s="1123"/>
      <c r="U27" s="1123"/>
      <c r="V27" s="1123"/>
      <c r="W27" s="1123"/>
      <c r="X27" s="1123"/>
      <c r="Y27" s="1123"/>
      <c r="Z27" s="1123"/>
      <c r="AA27" s="997">
        <f t="shared" si="2"/>
        <v>1</v>
      </c>
      <c r="AB27" s="1126"/>
      <c r="AC27" s="997">
        <f t="shared" si="0"/>
        <v>0</v>
      </c>
    </row>
    <row r="28" spans="1:29">
      <c r="A28" s="1125" t="s">
        <v>2012</v>
      </c>
      <c r="B28" s="1133" t="s">
        <v>1196</v>
      </c>
      <c r="C28" s="1327"/>
      <c r="D28" s="737" t="s">
        <v>18</v>
      </c>
      <c r="E28" s="1123">
        <v>1</v>
      </c>
      <c r="F28" s="1123"/>
      <c r="G28" s="1123"/>
      <c r="H28" s="1123"/>
      <c r="I28" s="1123"/>
      <c r="J28" s="1123"/>
      <c r="K28" s="1123"/>
      <c r="L28" s="1123"/>
      <c r="M28" s="1123"/>
      <c r="N28" s="1123"/>
      <c r="O28" s="1123"/>
      <c r="P28" s="1123"/>
      <c r="Q28" s="1123"/>
      <c r="R28" s="1123"/>
      <c r="S28" s="1123"/>
      <c r="T28" s="1123"/>
      <c r="U28" s="1123"/>
      <c r="V28" s="1123"/>
      <c r="W28" s="1123"/>
      <c r="X28" s="1123"/>
      <c r="Y28" s="1123"/>
      <c r="Z28" s="1123"/>
      <c r="AA28" s="997">
        <f t="shared" si="2"/>
        <v>1</v>
      </c>
      <c r="AB28" s="1126"/>
      <c r="AC28" s="997">
        <f t="shared" si="0"/>
        <v>0</v>
      </c>
    </row>
    <row r="29" spans="1:29">
      <c r="A29" s="1125" t="s">
        <v>2013</v>
      </c>
      <c r="B29" s="1133" t="s">
        <v>1197</v>
      </c>
      <c r="C29" s="1327"/>
      <c r="D29" s="737" t="s">
        <v>18</v>
      </c>
      <c r="E29" s="1123">
        <v>1</v>
      </c>
      <c r="F29" s="1123"/>
      <c r="G29" s="1123"/>
      <c r="H29" s="1123"/>
      <c r="I29" s="1123"/>
      <c r="J29" s="1123"/>
      <c r="K29" s="1123"/>
      <c r="L29" s="1123"/>
      <c r="M29" s="1123"/>
      <c r="N29" s="1123"/>
      <c r="O29" s="1123"/>
      <c r="P29" s="1123"/>
      <c r="Q29" s="1123"/>
      <c r="R29" s="1123"/>
      <c r="S29" s="1123"/>
      <c r="T29" s="1123"/>
      <c r="U29" s="1123"/>
      <c r="V29" s="1123"/>
      <c r="W29" s="1123"/>
      <c r="X29" s="1123"/>
      <c r="Y29" s="1123"/>
      <c r="Z29" s="1123"/>
      <c r="AA29" s="997">
        <f t="shared" si="2"/>
        <v>1</v>
      </c>
      <c r="AB29" s="1126"/>
      <c r="AC29" s="997">
        <f t="shared" si="0"/>
        <v>0</v>
      </c>
    </row>
    <row r="30" spans="1:29">
      <c r="A30" s="1125" t="s">
        <v>2014</v>
      </c>
      <c r="B30" s="1133" t="s">
        <v>1198</v>
      </c>
      <c r="C30" s="1327"/>
      <c r="D30" s="737" t="s">
        <v>18</v>
      </c>
      <c r="E30" s="1123">
        <v>1</v>
      </c>
      <c r="F30" s="1123"/>
      <c r="G30" s="1123"/>
      <c r="H30" s="1123"/>
      <c r="I30" s="1123"/>
      <c r="J30" s="1123"/>
      <c r="K30" s="1123"/>
      <c r="L30" s="1123"/>
      <c r="M30" s="1123"/>
      <c r="N30" s="1123"/>
      <c r="O30" s="1123"/>
      <c r="P30" s="1123"/>
      <c r="Q30" s="1123"/>
      <c r="R30" s="1123"/>
      <c r="S30" s="1123"/>
      <c r="T30" s="1123"/>
      <c r="U30" s="1123"/>
      <c r="V30" s="1123"/>
      <c r="W30" s="1123"/>
      <c r="X30" s="1123"/>
      <c r="Y30" s="1123"/>
      <c r="Z30" s="1123"/>
      <c r="AA30" s="997">
        <f t="shared" si="2"/>
        <v>1</v>
      </c>
      <c r="AB30" s="1126"/>
      <c r="AC30" s="997">
        <f t="shared" si="0"/>
        <v>0</v>
      </c>
    </row>
    <row r="31" spans="1:29">
      <c r="A31" s="1125" t="s">
        <v>2015</v>
      </c>
      <c r="B31" s="1133" t="s">
        <v>1199</v>
      </c>
      <c r="C31" s="1327"/>
      <c r="D31" s="737" t="s">
        <v>18</v>
      </c>
      <c r="E31" s="1123">
        <v>1</v>
      </c>
      <c r="F31" s="1123"/>
      <c r="G31" s="1123"/>
      <c r="H31" s="1123"/>
      <c r="I31" s="1123"/>
      <c r="J31" s="1123"/>
      <c r="K31" s="1123"/>
      <c r="L31" s="1123"/>
      <c r="M31" s="1123"/>
      <c r="N31" s="1123"/>
      <c r="O31" s="1123"/>
      <c r="P31" s="1123"/>
      <c r="Q31" s="1123"/>
      <c r="R31" s="1123"/>
      <c r="S31" s="1123"/>
      <c r="T31" s="1123"/>
      <c r="U31" s="1123"/>
      <c r="V31" s="1123"/>
      <c r="W31" s="1123"/>
      <c r="X31" s="1123"/>
      <c r="Y31" s="1123"/>
      <c r="Z31" s="1123"/>
      <c r="AA31" s="997">
        <f t="shared" si="2"/>
        <v>1</v>
      </c>
      <c r="AB31" s="1126"/>
      <c r="AC31" s="997">
        <f t="shared" si="0"/>
        <v>0</v>
      </c>
    </row>
    <row r="32" spans="1:29">
      <c r="A32" s="1125" t="s">
        <v>2016</v>
      </c>
      <c r="B32" s="1133" t="s">
        <v>1200</v>
      </c>
      <c r="C32" s="1327"/>
      <c r="D32" s="737" t="s">
        <v>18</v>
      </c>
      <c r="E32" s="1123">
        <v>1</v>
      </c>
      <c r="F32" s="1123"/>
      <c r="G32" s="1123"/>
      <c r="H32" s="1123"/>
      <c r="I32" s="1123"/>
      <c r="J32" s="1123"/>
      <c r="K32" s="1123"/>
      <c r="L32" s="1123"/>
      <c r="M32" s="1123"/>
      <c r="N32" s="1123"/>
      <c r="O32" s="1123"/>
      <c r="P32" s="1123"/>
      <c r="Q32" s="1123"/>
      <c r="R32" s="1123"/>
      <c r="S32" s="1123"/>
      <c r="T32" s="1123"/>
      <c r="U32" s="1123"/>
      <c r="V32" s="1123"/>
      <c r="W32" s="1123"/>
      <c r="X32" s="1123"/>
      <c r="Y32" s="1123"/>
      <c r="Z32" s="1123"/>
      <c r="AA32" s="997">
        <f t="shared" si="2"/>
        <v>1</v>
      </c>
      <c r="AB32" s="1126"/>
      <c r="AC32" s="997">
        <f t="shared" si="0"/>
        <v>0</v>
      </c>
    </row>
    <row r="33" spans="1:29">
      <c r="A33" s="1125" t="s">
        <v>2017</v>
      </c>
      <c r="B33" s="1133" t="s">
        <v>1201</v>
      </c>
      <c r="C33" s="1327"/>
      <c r="D33" s="737" t="s">
        <v>18</v>
      </c>
      <c r="E33" s="1123">
        <v>1</v>
      </c>
      <c r="F33" s="1123"/>
      <c r="G33" s="1123"/>
      <c r="H33" s="1123"/>
      <c r="I33" s="1123"/>
      <c r="J33" s="1123"/>
      <c r="K33" s="1123"/>
      <c r="L33" s="1123"/>
      <c r="M33" s="1123"/>
      <c r="N33" s="1123"/>
      <c r="O33" s="1123"/>
      <c r="P33" s="1123"/>
      <c r="Q33" s="1123"/>
      <c r="R33" s="1123"/>
      <c r="S33" s="1123"/>
      <c r="T33" s="1123"/>
      <c r="U33" s="1123"/>
      <c r="V33" s="1123"/>
      <c r="W33" s="1123"/>
      <c r="X33" s="1123"/>
      <c r="Y33" s="1123"/>
      <c r="Z33" s="1123"/>
      <c r="AA33" s="997">
        <f t="shared" si="2"/>
        <v>1</v>
      </c>
      <c r="AB33" s="1126"/>
      <c r="AC33" s="997">
        <f t="shared" si="0"/>
        <v>0</v>
      </c>
    </row>
    <row r="34" spans="1:29">
      <c r="A34" s="1125" t="s">
        <v>2018</v>
      </c>
      <c r="B34" s="1133" t="s">
        <v>1202</v>
      </c>
      <c r="C34" s="1327"/>
      <c r="D34" s="737" t="s">
        <v>18</v>
      </c>
      <c r="E34" s="1123"/>
      <c r="F34" s="1123">
        <v>1</v>
      </c>
      <c r="G34" s="1123"/>
      <c r="H34" s="1123"/>
      <c r="I34" s="1123"/>
      <c r="J34" s="1123"/>
      <c r="K34" s="1123"/>
      <c r="L34" s="1123"/>
      <c r="M34" s="1123"/>
      <c r="N34" s="1123"/>
      <c r="O34" s="1123"/>
      <c r="P34" s="1123"/>
      <c r="Q34" s="1123"/>
      <c r="R34" s="1123"/>
      <c r="S34" s="1123"/>
      <c r="T34" s="1123"/>
      <c r="U34" s="1123"/>
      <c r="V34" s="1123"/>
      <c r="W34" s="1123"/>
      <c r="X34" s="1123"/>
      <c r="Y34" s="1123"/>
      <c r="Z34" s="1123"/>
      <c r="AA34" s="997">
        <f t="shared" si="2"/>
        <v>1</v>
      </c>
      <c r="AB34" s="1126"/>
      <c r="AC34" s="997">
        <f t="shared" si="0"/>
        <v>0</v>
      </c>
    </row>
    <row r="35" spans="1:29">
      <c r="A35" s="1125" t="s">
        <v>2019</v>
      </c>
      <c r="B35" s="1134" t="s">
        <v>1203</v>
      </c>
      <c r="C35" s="1327"/>
      <c r="D35" s="737" t="s">
        <v>18</v>
      </c>
      <c r="E35" s="1123"/>
      <c r="F35" s="1123">
        <v>1</v>
      </c>
      <c r="G35" s="1123"/>
      <c r="H35" s="1123"/>
      <c r="I35" s="1123"/>
      <c r="J35" s="1123"/>
      <c r="K35" s="1123"/>
      <c r="L35" s="1123"/>
      <c r="M35" s="1123"/>
      <c r="N35" s="1123"/>
      <c r="O35" s="1123"/>
      <c r="P35" s="1123"/>
      <c r="Q35" s="1123"/>
      <c r="R35" s="1123"/>
      <c r="S35" s="1123"/>
      <c r="T35" s="1123"/>
      <c r="U35" s="1123"/>
      <c r="V35" s="1123"/>
      <c r="W35" s="1123"/>
      <c r="X35" s="1123"/>
      <c r="Y35" s="1123"/>
      <c r="Z35" s="1123"/>
      <c r="AA35" s="997">
        <f t="shared" si="2"/>
        <v>1</v>
      </c>
      <c r="AB35" s="1126"/>
      <c r="AC35" s="997">
        <f t="shared" si="0"/>
        <v>0</v>
      </c>
    </row>
    <row r="36" spans="1:29">
      <c r="A36" s="1125" t="s">
        <v>2020</v>
      </c>
      <c r="B36" s="1133" t="s">
        <v>1204</v>
      </c>
      <c r="C36" s="1327"/>
      <c r="D36" s="737" t="s">
        <v>18</v>
      </c>
      <c r="E36" s="1123"/>
      <c r="F36" s="1123"/>
      <c r="G36" s="1123">
        <v>1</v>
      </c>
      <c r="H36" s="1123"/>
      <c r="I36" s="1123"/>
      <c r="J36" s="1123"/>
      <c r="K36" s="1123"/>
      <c r="L36" s="1123"/>
      <c r="M36" s="1123"/>
      <c r="N36" s="1123"/>
      <c r="O36" s="1123"/>
      <c r="P36" s="1123"/>
      <c r="Q36" s="1123"/>
      <c r="R36" s="1123"/>
      <c r="S36" s="1123"/>
      <c r="T36" s="1123"/>
      <c r="U36" s="1123"/>
      <c r="V36" s="1123"/>
      <c r="W36" s="1123"/>
      <c r="X36" s="1123"/>
      <c r="Y36" s="1123"/>
      <c r="Z36" s="1123"/>
      <c r="AA36" s="997">
        <f t="shared" si="2"/>
        <v>1</v>
      </c>
      <c r="AB36" s="1126"/>
      <c r="AC36" s="997">
        <f t="shared" si="0"/>
        <v>0</v>
      </c>
    </row>
    <row r="37" spans="1:29">
      <c r="A37" s="1125" t="s">
        <v>2021</v>
      </c>
      <c r="B37" s="1133" t="s">
        <v>1205</v>
      </c>
      <c r="C37" s="1327"/>
      <c r="D37" s="737" t="s">
        <v>18</v>
      </c>
      <c r="E37" s="1123"/>
      <c r="F37" s="1123"/>
      <c r="G37" s="1123">
        <v>1</v>
      </c>
      <c r="H37" s="1123"/>
      <c r="I37" s="1123"/>
      <c r="J37" s="1123"/>
      <c r="K37" s="1123"/>
      <c r="L37" s="1123"/>
      <c r="M37" s="1123"/>
      <c r="N37" s="1123"/>
      <c r="O37" s="1123"/>
      <c r="P37" s="1123"/>
      <c r="Q37" s="1123"/>
      <c r="R37" s="1123"/>
      <c r="S37" s="1123"/>
      <c r="T37" s="1123"/>
      <c r="U37" s="1123"/>
      <c r="V37" s="1123"/>
      <c r="W37" s="1123"/>
      <c r="X37" s="1123"/>
      <c r="Y37" s="1123"/>
      <c r="Z37" s="1123"/>
      <c r="AA37" s="997">
        <f t="shared" si="2"/>
        <v>1</v>
      </c>
      <c r="AB37" s="1126"/>
      <c r="AC37" s="997">
        <f t="shared" si="0"/>
        <v>0</v>
      </c>
    </row>
    <row r="38" spans="1:29">
      <c r="A38" s="1125" t="s">
        <v>2022</v>
      </c>
      <c r="B38" s="1133" t="s">
        <v>1206</v>
      </c>
      <c r="C38" s="1327"/>
      <c r="D38" s="737" t="s">
        <v>18</v>
      </c>
      <c r="E38" s="1123"/>
      <c r="F38" s="1123"/>
      <c r="G38" s="1123">
        <v>1</v>
      </c>
      <c r="H38" s="1123"/>
      <c r="I38" s="1123"/>
      <c r="J38" s="1123"/>
      <c r="K38" s="1123"/>
      <c r="L38" s="1123"/>
      <c r="M38" s="1123"/>
      <c r="N38" s="1123"/>
      <c r="O38" s="1123"/>
      <c r="P38" s="1123"/>
      <c r="Q38" s="1123"/>
      <c r="R38" s="1123"/>
      <c r="S38" s="1123"/>
      <c r="T38" s="1123"/>
      <c r="U38" s="1123"/>
      <c r="V38" s="1123"/>
      <c r="W38" s="1123"/>
      <c r="X38" s="1123"/>
      <c r="Y38" s="1123"/>
      <c r="Z38" s="1123"/>
      <c r="AA38" s="997">
        <f t="shared" si="2"/>
        <v>1</v>
      </c>
      <c r="AB38" s="1126"/>
      <c r="AC38" s="997">
        <f t="shared" si="0"/>
        <v>0</v>
      </c>
    </row>
    <row r="39" spans="1:29">
      <c r="A39" s="1125" t="s">
        <v>2023</v>
      </c>
      <c r="B39" s="1133" t="s">
        <v>1207</v>
      </c>
      <c r="C39" s="1327"/>
      <c r="D39" s="737" t="s">
        <v>18</v>
      </c>
      <c r="E39" s="1123"/>
      <c r="F39" s="1123"/>
      <c r="G39" s="1123">
        <v>1</v>
      </c>
      <c r="H39" s="1123"/>
      <c r="I39" s="1123"/>
      <c r="J39" s="1123"/>
      <c r="K39" s="1123"/>
      <c r="L39" s="1123"/>
      <c r="M39" s="1123"/>
      <c r="N39" s="1123"/>
      <c r="O39" s="1123"/>
      <c r="P39" s="1123"/>
      <c r="Q39" s="1123"/>
      <c r="R39" s="1123"/>
      <c r="S39" s="1123"/>
      <c r="T39" s="1123"/>
      <c r="U39" s="1123"/>
      <c r="V39" s="1123"/>
      <c r="W39" s="1123"/>
      <c r="X39" s="1123"/>
      <c r="Y39" s="1123"/>
      <c r="Z39" s="1123"/>
      <c r="AA39" s="997">
        <f t="shared" si="2"/>
        <v>1</v>
      </c>
      <c r="AB39" s="1126"/>
      <c r="AC39" s="997">
        <f t="shared" si="0"/>
        <v>0</v>
      </c>
    </row>
    <row r="40" spans="1:29">
      <c r="A40" s="1125" t="s">
        <v>2024</v>
      </c>
      <c r="B40" s="1134" t="s">
        <v>1208</v>
      </c>
      <c r="C40" s="1327"/>
      <c r="D40" s="737" t="s">
        <v>18</v>
      </c>
      <c r="E40" s="1123"/>
      <c r="F40" s="1123"/>
      <c r="G40" s="1123">
        <v>1</v>
      </c>
      <c r="H40" s="1123"/>
      <c r="I40" s="1123"/>
      <c r="J40" s="1123"/>
      <c r="K40" s="1123"/>
      <c r="L40" s="1123"/>
      <c r="M40" s="1123"/>
      <c r="N40" s="1123"/>
      <c r="O40" s="1123"/>
      <c r="P40" s="1123"/>
      <c r="Q40" s="1123"/>
      <c r="R40" s="1123"/>
      <c r="S40" s="1123"/>
      <c r="T40" s="1123"/>
      <c r="U40" s="1123"/>
      <c r="V40" s="1123"/>
      <c r="W40" s="1123"/>
      <c r="X40" s="1123"/>
      <c r="Y40" s="1123"/>
      <c r="Z40" s="1123"/>
      <c r="AA40" s="997">
        <f t="shared" si="2"/>
        <v>1</v>
      </c>
      <c r="AB40" s="1126"/>
      <c r="AC40" s="997">
        <f t="shared" si="0"/>
        <v>0</v>
      </c>
    </row>
    <row r="41" spans="1:29">
      <c r="A41" s="1125" t="s">
        <v>2025</v>
      </c>
      <c r="B41" s="1134" t="s">
        <v>1209</v>
      </c>
      <c r="C41" s="1327"/>
      <c r="D41" s="737" t="s">
        <v>18</v>
      </c>
      <c r="E41" s="1123"/>
      <c r="F41" s="1123"/>
      <c r="G41" s="1123">
        <v>1</v>
      </c>
      <c r="H41" s="1123"/>
      <c r="I41" s="1123"/>
      <c r="J41" s="1123"/>
      <c r="K41" s="1123"/>
      <c r="L41" s="1123"/>
      <c r="M41" s="1123"/>
      <c r="N41" s="1123"/>
      <c r="O41" s="1123"/>
      <c r="P41" s="1123"/>
      <c r="Q41" s="1123"/>
      <c r="R41" s="1123"/>
      <c r="S41" s="1123"/>
      <c r="T41" s="1123"/>
      <c r="U41" s="1123"/>
      <c r="V41" s="1123"/>
      <c r="W41" s="1123"/>
      <c r="X41" s="1123"/>
      <c r="Y41" s="1123"/>
      <c r="Z41" s="1123"/>
      <c r="AA41" s="997">
        <f t="shared" si="2"/>
        <v>1</v>
      </c>
      <c r="AB41" s="1126"/>
      <c r="AC41" s="997">
        <f t="shared" si="0"/>
        <v>0</v>
      </c>
    </row>
    <row r="42" spans="1:29">
      <c r="A42" s="1125" t="s">
        <v>2026</v>
      </c>
      <c r="B42" s="1134" t="s">
        <v>1210</v>
      </c>
      <c r="C42" s="1327"/>
      <c r="D42" s="737" t="s">
        <v>18</v>
      </c>
      <c r="E42" s="1123"/>
      <c r="F42" s="1123"/>
      <c r="G42" s="1123">
        <v>1</v>
      </c>
      <c r="H42" s="1123"/>
      <c r="I42" s="1123"/>
      <c r="J42" s="1123"/>
      <c r="K42" s="1123"/>
      <c r="L42" s="1123"/>
      <c r="M42" s="1123"/>
      <c r="N42" s="1123"/>
      <c r="O42" s="1123"/>
      <c r="P42" s="1123"/>
      <c r="Q42" s="1123"/>
      <c r="R42" s="1123"/>
      <c r="S42" s="1123"/>
      <c r="T42" s="1123"/>
      <c r="U42" s="1123"/>
      <c r="V42" s="1123"/>
      <c r="W42" s="1123"/>
      <c r="X42" s="1123"/>
      <c r="Y42" s="1123"/>
      <c r="Z42" s="1123"/>
      <c r="AA42" s="997">
        <f t="shared" si="2"/>
        <v>1</v>
      </c>
      <c r="AB42" s="1126"/>
      <c r="AC42" s="997">
        <f t="shared" si="0"/>
        <v>0</v>
      </c>
    </row>
    <row r="43" spans="1:29">
      <c r="A43" s="1125" t="s">
        <v>2027</v>
      </c>
      <c r="B43" s="1133" t="s">
        <v>1211</v>
      </c>
      <c r="C43" s="1327"/>
      <c r="D43" s="737" t="s">
        <v>18</v>
      </c>
      <c r="E43" s="1123"/>
      <c r="F43" s="1123"/>
      <c r="G43" s="1123"/>
      <c r="H43" s="1123">
        <v>1</v>
      </c>
      <c r="I43" s="1123"/>
      <c r="J43" s="1123"/>
      <c r="K43" s="1123"/>
      <c r="L43" s="1123"/>
      <c r="M43" s="1123"/>
      <c r="N43" s="1123"/>
      <c r="O43" s="1123"/>
      <c r="P43" s="1123"/>
      <c r="Q43" s="1123"/>
      <c r="R43" s="1123"/>
      <c r="S43" s="1123"/>
      <c r="T43" s="1123"/>
      <c r="U43" s="1123"/>
      <c r="V43" s="1123"/>
      <c r="W43" s="1123"/>
      <c r="X43" s="1123"/>
      <c r="Y43" s="1123"/>
      <c r="Z43" s="1123"/>
      <c r="AA43" s="997">
        <f t="shared" si="2"/>
        <v>1</v>
      </c>
      <c r="AB43" s="1126"/>
      <c r="AC43" s="997">
        <f t="shared" si="0"/>
        <v>0</v>
      </c>
    </row>
    <row r="44" spans="1:29">
      <c r="A44" s="1125" t="s">
        <v>2028</v>
      </c>
      <c r="B44" s="1134" t="s">
        <v>1212</v>
      </c>
      <c r="C44" s="1327"/>
      <c r="D44" s="737" t="s">
        <v>18</v>
      </c>
      <c r="E44" s="1123"/>
      <c r="F44" s="1123"/>
      <c r="G44" s="1123"/>
      <c r="H44" s="1123">
        <v>1</v>
      </c>
      <c r="I44" s="1123"/>
      <c r="J44" s="1123"/>
      <c r="K44" s="1123"/>
      <c r="L44" s="1123"/>
      <c r="M44" s="1123"/>
      <c r="N44" s="1123"/>
      <c r="O44" s="1123"/>
      <c r="P44" s="1123"/>
      <c r="Q44" s="1123"/>
      <c r="R44" s="1123"/>
      <c r="S44" s="1123"/>
      <c r="T44" s="1123"/>
      <c r="U44" s="1123"/>
      <c r="V44" s="1123"/>
      <c r="W44" s="1123"/>
      <c r="X44" s="1123"/>
      <c r="Y44" s="1123"/>
      <c r="Z44" s="1123"/>
      <c r="AA44" s="997">
        <f t="shared" si="2"/>
        <v>1</v>
      </c>
      <c r="AB44" s="1126"/>
      <c r="AC44" s="997">
        <f t="shared" si="0"/>
        <v>0</v>
      </c>
    </row>
    <row r="45" spans="1:29">
      <c r="A45" s="1125" t="s">
        <v>2029</v>
      </c>
      <c r="B45" s="1134" t="s">
        <v>1213</v>
      </c>
      <c r="C45" s="1327"/>
      <c r="D45" s="737" t="s">
        <v>18</v>
      </c>
      <c r="E45" s="1123"/>
      <c r="F45" s="1123"/>
      <c r="G45" s="1123"/>
      <c r="H45" s="1123"/>
      <c r="I45" s="1123">
        <v>1</v>
      </c>
      <c r="J45" s="1123"/>
      <c r="K45" s="1123"/>
      <c r="L45" s="1123"/>
      <c r="M45" s="1123"/>
      <c r="N45" s="1123"/>
      <c r="O45" s="1123"/>
      <c r="P45" s="1123"/>
      <c r="Q45" s="1123"/>
      <c r="R45" s="1123"/>
      <c r="S45" s="1123"/>
      <c r="T45" s="1123"/>
      <c r="U45" s="1123"/>
      <c r="V45" s="1123"/>
      <c r="W45" s="1123"/>
      <c r="X45" s="1123"/>
      <c r="Y45" s="1123"/>
      <c r="Z45" s="1123"/>
      <c r="AA45" s="997">
        <f t="shared" si="2"/>
        <v>1</v>
      </c>
      <c r="AB45" s="1126"/>
      <c r="AC45" s="997">
        <f t="shared" si="0"/>
        <v>0</v>
      </c>
    </row>
    <row r="46" spans="1:29">
      <c r="A46" s="1125" t="s">
        <v>2030</v>
      </c>
      <c r="B46" s="1133" t="s">
        <v>1214</v>
      </c>
      <c r="C46" s="1327"/>
      <c r="D46" s="737" t="s">
        <v>18</v>
      </c>
      <c r="E46" s="1123"/>
      <c r="F46" s="1123"/>
      <c r="G46" s="1123"/>
      <c r="H46" s="1123"/>
      <c r="I46" s="1123">
        <v>1</v>
      </c>
      <c r="J46" s="1123"/>
      <c r="K46" s="1123"/>
      <c r="L46" s="1123"/>
      <c r="M46" s="1123"/>
      <c r="N46" s="1123"/>
      <c r="O46" s="1123"/>
      <c r="P46" s="1123"/>
      <c r="Q46" s="1123"/>
      <c r="R46" s="1123"/>
      <c r="S46" s="1123"/>
      <c r="T46" s="1123"/>
      <c r="U46" s="1123"/>
      <c r="V46" s="1123"/>
      <c r="W46" s="1123"/>
      <c r="X46" s="1123"/>
      <c r="Y46" s="1123"/>
      <c r="Z46" s="1123"/>
      <c r="AA46" s="997">
        <f t="shared" si="2"/>
        <v>1</v>
      </c>
      <c r="AB46" s="1126"/>
      <c r="AC46" s="997">
        <f t="shared" si="0"/>
        <v>0</v>
      </c>
    </row>
    <row r="47" spans="1:29">
      <c r="A47" s="1125" t="s">
        <v>2031</v>
      </c>
      <c r="B47" s="1133" t="s">
        <v>1215</v>
      </c>
      <c r="C47" s="1327"/>
      <c r="D47" s="737" t="s">
        <v>18</v>
      </c>
      <c r="E47" s="1123"/>
      <c r="F47" s="1123"/>
      <c r="G47" s="1123"/>
      <c r="H47" s="1123"/>
      <c r="I47" s="1123">
        <v>1</v>
      </c>
      <c r="J47" s="1123"/>
      <c r="K47" s="1123"/>
      <c r="L47" s="1123"/>
      <c r="M47" s="1123"/>
      <c r="N47" s="1123"/>
      <c r="O47" s="1123"/>
      <c r="P47" s="1123"/>
      <c r="Q47" s="1123"/>
      <c r="R47" s="1123"/>
      <c r="S47" s="1123"/>
      <c r="T47" s="1123"/>
      <c r="U47" s="1123"/>
      <c r="V47" s="1123"/>
      <c r="W47" s="1123"/>
      <c r="X47" s="1123"/>
      <c r="Y47" s="1123"/>
      <c r="Z47" s="1123"/>
      <c r="AA47" s="997">
        <f t="shared" si="2"/>
        <v>1</v>
      </c>
      <c r="AB47" s="1126"/>
      <c r="AC47" s="997">
        <f t="shared" si="0"/>
        <v>0</v>
      </c>
    </row>
    <row r="48" spans="1:29">
      <c r="A48" s="1125" t="s">
        <v>2032</v>
      </c>
      <c r="B48" s="1133" t="s">
        <v>1216</v>
      </c>
      <c r="C48" s="1327"/>
      <c r="D48" s="737" t="s">
        <v>18</v>
      </c>
      <c r="E48" s="1123"/>
      <c r="F48" s="1123"/>
      <c r="G48" s="1123"/>
      <c r="H48" s="1123"/>
      <c r="I48" s="1123">
        <v>1</v>
      </c>
      <c r="J48" s="1123"/>
      <c r="K48" s="1123"/>
      <c r="L48" s="1123"/>
      <c r="M48" s="1123"/>
      <c r="N48" s="1123"/>
      <c r="O48" s="1123"/>
      <c r="P48" s="1123"/>
      <c r="Q48" s="1123"/>
      <c r="R48" s="1123"/>
      <c r="S48" s="1123"/>
      <c r="T48" s="1123"/>
      <c r="U48" s="1123"/>
      <c r="V48" s="1123"/>
      <c r="W48" s="1123"/>
      <c r="X48" s="1123"/>
      <c r="Y48" s="1123"/>
      <c r="Z48" s="1123"/>
      <c r="AA48" s="997">
        <f t="shared" si="2"/>
        <v>1</v>
      </c>
      <c r="AB48" s="1126"/>
      <c r="AC48" s="997">
        <f t="shared" si="0"/>
        <v>0</v>
      </c>
    </row>
    <row r="49" spans="1:29">
      <c r="A49" s="1125" t="s">
        <v>2033</v>
      </c>
      <c r="B49" s="1133" t="s">
        <v>1217</v>
      </c>
      <c r="C49" s="1327"/>
      <c r="D49" s="737" t="s">
        <v>18</v>
      </c>
      <c r="E49" s="1123"/>
      <c r="F49" s="1123"/>
      <c r="G49" s="1123"/>
      <c r="H49" s="1123"/>
      <c r="I49" s="1123">
        <v>1</v>
      </c>
      <c r="J49" s="1123"/>
      <c r="K49" s="1123"/>
      <c r="L49" s="1123"/>
      <c r="M49" s="1123"/>
      <c r="N49" s="1123"/>
      <c r="O49" s="1123"/>
      <c r="P49" s="1123"/>
      <c r="Q49" s="1123"/>
      <c r="R49" s="1123"/>
      <c r="S49" s="1123"/>
      <c r="T49" s="1123"/>
      <c r="U49" s="1123"/>
      <c r="V49" s="1123"/>
      <c r="W49" s="1123"/>
      <c r="X49" s="1123"/>
      <c r="Y49" s="1123"/>
      <c r="Z49" s="1123"/>
      <c r="AA49" s="997">
        <f t="shared" si="2"/>
        <v>1</v>
      </c>
      <c r="AB49" s="1126"/>
      <c r="AC49" s="997">
        <f t="shared" si="0"/>
        <v>0</v>
      </c>
    </row>
    <row r="50" spans="1:29">
      <c r="A50" s="1125" t="s">
        <v>2034</v>
      </c>
      <c r="B50" s="1133" t="s">
        <v>1218</v>
      </c>
      <c r="C50" s="1327"/>
      <c r="D50" s="737" t="s">
        <v>18</v>
      </c>
      <c r="E50" s="1123"/>
      <c r="F50" s="1123"/>
      <c r="G50" s="1123"/>
      <c r="H50" s="1123"/>
      <c r="I50" s="1123">
        <v>1</v>
      </c>
      <c r="J50" s="1123"/>
      <c r="K50" s="1123"/>
      <c r="L50" s="1123"/>
      <c r="M50" s="1123"/>
      <c r="N50" s="1123"/>
      <c r="O50" s="1123"/>
      <c r="P50" s="1123"/>
      <c r="Q50" s="1123"/>
      <c r="R50" s="1123"/>
      <c r="S50" s="1123"/>
      <c r="T50" s="1123"/>
      <c r="U50" s="1123"/>
      <c r="V50" s="1123"/>
      <c r="W50" s="1123"/>
      <c r="X50" s="1123"/>
      <c r="Y50" s="1123"/>
      <c r="Z50" s="1123"/>
      <c r="AA50" s="997">
        <f t="shared" si="2"/>
        <v>1</v>
      </c>
      <c r="AB50" s="1126"/>
      <c r="AC50" s="997">
        <f t="shared" si="0"/>
        <v>0</v>
      </c>
    </row>
    <row r="51" spans="1:29">
      <c r="A51" s="1125" t="s">
        <v>2035</v>
      </c>
      <c r="B51" s="1133" t="s">
        <v>1219</v>
      </c>
      <c r="C51" s="1327"/>
      <c r="D51" s="737" t="s">
        <v>18</v>
      </c>
      <c r="E51" s="1123"/>
      <c r="F51" s="1123"/>
      <c r="G51" s="1123"/>
      <c r="H51" s="1123"/>
      <c r="I51" s="1123">
        <v>1</v>
      </c>
      <c r="J51" s="1123"/>
      <c r="K51" s="1123"/>
      <c r="L51" s="1123"/>
      <c r="M51" s="1123"/>
      <c r="N51" s="1123"/>
      <c r="O51" s="1123"/>
      <c r="P51" s="1123"/>
      <c r="Q51" s="1123"/>
      <c r="R51" s="1123"/>
      <c r="S51" s="1123"/>
      <c r="T51" s="1123"/>
      <c r="U51" s="1123"/>
      <c r="V51" s="1123"/>
      <c r="W51" s="1123"/>
      <c r="X51" s="1123"/>
      <c r="Y51" s="1123"/>
      <c r="Z51" s="1123"/>
      <c r="AA51" s="997">
        <f t="shared" si="2"/>
        <v>1</v>
      </c>
      <c r="AB51" s="1126"/>
      <c r="AC51" s="997">
        <f t="shared" si="0"/>
        <v>0</v>
      </c>
    </row>
    <row r="52" spans="1:29">
      <c r="A52" s="1125" t="s">
        <v>2036</v>
      </c>
      <c r="B52" s="1133" t="s">
        <v>1220</v>
      </c>
      <c r="C52" s="1327"/>
      <c r="D52" s="737" t="s">
        <v>18</v>
      </c>
      <c r="E52" s="1123"/>
      <c r="F52" s="1123"/>
      <c r="G52" s="1123"/>
      <c r="H52" s="1123"/>
      <c r="I52" s="1123">
        <v>1</v>
      </c>
      <c r="J52" s="1123"/>
      <c r="K52" s="1123"/>
      <c r="L52" s="1123"/>
      <c r="M52" s="1123"/>
      <c r="N52" s="1123"/>
      <c r="O52" s="1123"/>
      <c r="P52" s="1123"/>
      <c r="Q52" s="1123"/>
      <c r="R52" s="1123"/>
      <c r="S52" s="1123"/>
      <c r="T52" s="1123"/>
      <c r="U52" s="1123"/>
      <c r="V52" s="1123"/>
      <c r="W52" s="1123"/>
      <c r="X52" s="1123"/>
      <c r="Y52" s="1123"/>
      <c r="Z52" s="1123"/>
      <c r="AA52" s="997">
        <f t="shared" si="2"/>
        <v>1</v>
      </c>
      <c r="AB52" s="1126"/>
      <c r="AC52" s="997">
        <f t="shared" si="0"/>
        <v>0</v>
      </c>
    </row>
    <row r="53" spans="1:29">
      <c r="A53" s="1125" t="s">
        <v>2037</v>
      </c>
      <c r="B53" s="1133" t="s">
        <v>1221</v>
      </c>
      <c r="C53" s="1327"/>
      <c r="D53" s="737" t="s">
        <v>18</v>
      </c>
      <c r="E53" s="1123"/>
      <c r="F53" s="1123"/>
      <c r="G53" s="1123"/>
      <c r="H53" s="1123"/>
      <c r="J53" s="1123">
        <v>1</v>
      </c>
      <c r="K53" s="1123"/>
      <c r="L53" s="1123"/>
      <c r="M53" s="1123"/>
      <c r="N53" s="1123"/>
      <c r="O53" s="1123"/>
      <c r="P53" s="1123"/>
      <c r="Q53" s="1123"/>
      <c r="R53" s="1123"/>
      <c r="S53" s="1123"/>
      <c r="T53" s="1123"/>
      <c r="U53" s="1123"/>
      <c r="V53" s="1123"/>
      <c r="W53" s="1123"/>
      <c r="X53" s="1123"/>
      <c r="Y53" s="1123"/>
      <c r="Z53" s="1123"/>
      <c r="AA53" s="997">
        <f t="shared" si="2"/>
        <v>1</v>
      </c>
      <c r="AB53" s="1126"/>
      <c r="AC53" s="997">
        <f t="shared" si="0"/>
        <v>0</v>
      </c>
    </row>
    <row r="54" spans="1:29">
      <c r="A54" s="1125" t="s">
        <v>2038</v>
      </c>
      <c r="B54" s="1133" t="s">
        <v>1222</v>
      </c>
      <c r="C54" s="1327"/>
      <c r="D54" s="737" t="s">
        <v>18</v>
      </c>
      <c r="E54" s="1123"/>
      <c r="F54" s="1123"/>
      <c r="G54" s="1123"/>
      <c r="H54" s="1123"/>
      <c r="I54" s="1123"/>
      <c r="J54" s="1123">
        <v>1</v>
      </c>
      <c r="K54" s="1123"/>
      <c r="L54" s="1123"/>
      <c r="M54" s="1123"/>
      <c r="N54" s="1123"/>
      <c r="O54" s="1123"/>
      <c r="P54" s="1123"/>
      <c r="Q54" s="1123"/>
      <c r="R54" s="1123"/>
      <c r="S54" s="1123"/>
      <c r="T54" s="1123"/>
      <c r="U54" s="1123"/>
      <c r="V54" s="1123"/>
      <c r="W54" s="1123"/>
      <c r="X54" s="1123"/>
      <c r="Y54" s="1123"/>
      <c r="Z54" s="1123"/>
      <c r="AA54" s="997">
        <f t="shared" si="2"/>
        <v>1</v>
      </c>
      <c r="AB54" s="1126"/>
      <c r="AC54" s="997">
        <f t="shared" si="0"/>
        <v>0</v>
      </c>
    </row>
    <row r="55" spans="1:29">
      <c r="A55" s="1125" t="s">
        <v>2039</v>
      </c>
      <c r="B55" s="1133" t="s">
        <v>1223</v>
      </c>
      <c r="C55" s="1327"/>
      <c r="D55" s="737" t="s">
        <v>18</v>
      </c>
      <c r="E55" s="1123"/>
      <c r="F55" s="1123"/>
      <c r="G55" s="1123"/>
      <c r="H55" s="1123"/>
      <c r="I55" s="1123"/>
      <c r="J55" s="1123">
        <v>1</v>
      </c>
      <c r="K55" s="1123"/>
      <c r="L55" s="1123"/>
      <c r="M55" s="1123"/>
      <c r="N55" s="1123"/>
      <c r="O55" s="1123"/>
      <c r="P55" s="1123"/>
      <c r="Q55" s="1123"/>
      <c r="R55" s="1123"/>
      <c r="S55" s="1123"/>
      <c r="T55" s="1123"/>
      <c r="U55" s="1123"/>
      <c r="V55" s="1123"/>
      <c r="W55" s="1123"/>
      <c r="X55" s="1123"/>
      <c r="Y55" s="1123"/>
      <c r="Z55" s="1123"/>
      <c r="AA55" s="997">
        <f t="shared" si="2"/>
        <v>1</v>
      </c>
      <c r="AB55" s="1126"/>
      <c r="AC55" s="997">
        <f t="shared" si="0"/>
        <v>0</v>
      </c>
    </row>
    <row r="56" spans="1:29">
      <c r="A56" s="1125" t="s">
        <v>2040</v>
      </c>
      <c r="B56" s="1133" t="s">
        <v>1224</v>
      </c>
      <c r="C56" s="1327"/>
      <c r="D56" s="737" t="s">
        <v>18</v>
      </c>
      <c r="E56" s="1123"/>
      <c r="F56" s="1123"/>
      <c r="G56" s="1123"/>
      <c r="H56" s="1123"/>
      <c r="I56" s="1123"/>
      <c r="J56" s="1107"/>
      <c r="K56" s="1123">
        <v>1</v>
      </c>
      <c r="L56" s="1123"/>
      <c r="M56" s="1123"/>
      <c r="N56" s="1123"/>
      <c r="O56" s="1123"/>
      <c r="P56" s="1123"/>
      <c r="Q56" s="1123"/>
      <c r="R56" s="1123"/>
      <c r="S56" s="1123"/>
      <c r="T56" s="1123"/>
      <c r="U56" s="1123"/>
      <c r="V56" s="1123"/>
      <c r="W56" s="1123"/>
      <c r="X56" s="1123"/>
      <c r="Y56" s="1123"/>
      <c r="Z56" s="1123"/>
      <c r="AA56" s="997">
        <f t="shared" si="2"/>
        <v>1</v>
      </c>
      <c r="AB56" s="1126"/>
      <c r="AC56" s="997">
        <f t="shared" si="0"/>
        <v>0</v>
      </c>
    </row>
    <row r="57" spans="1:29">
      <c r="A57" s="1125" t="s">
        <v>2041</v>
      </c>
      <c r="B57" s="1133" t="s">
        <v>1225</v>
      </c>
      <c r="C57" s="1327"/>
      <c r="D57" s="737" t="s">
        <v>18</v>
      </c>
      <c r="E57" s="1123"/>
      <c r="F57" s="1123"/>
      <c r="G57" s="1123"/>
      <c r="H57" s="1123"/>
      <c r="I57" s="1123"/>
      <c r="J57" s="1123"/>
      <c r="K57" s="1123">
        <v>1</v>
      </c>
      <c r="L57" s="1123"/>
      <c r="M57" s="1123"/>
      <c r="N57" s="1123"/>
      <c r="O57" s="1123"/>
      <c r="P57" s="1123"/>
      <c r="Q57" s="1123"/>
      <c r="R57" s="1123"/>
      <c r="S57" s="1123"/>
      <c r="T57" s="1123"/>
      <c r="U57" s="1123"/>
      <c r="V57" s="1123"/>
      <c r="W57" s="1123"/>
      <c r="X57" s="1123"/>
      <c r="Y57" s="1123"/>
      <c r="Z57" s="1123"/>
      <c r="AA57" s="997">
        <f t="shared" si="2"/>
        <v>1</v>
      </c>
      <c r="AB57" s="1126"/>
      <c r="AC57" s="997">
        <f t="shared" si="0"/>
        <v>0</v>
      </c>
    </row>
    <row r="58" spans="1:29">
      <c r="A58" s="1125" t="s">
        <v>2042</v>
      </c>
      <c r="B58" s="1133" t="s">
        <v>1226</v>
      </c>
      <c r="C58" s="1327"/>
      <c r="D58" s="737" t="s">
        <v>18</v>
      </c>
      <c r="E58" s="1123"/>
      <c r="F58" s="1123"/>
      <c r="G58" s="1123"/>
      <c r="H58" s="1123"/>
      <c r="I58" s="1123"/>
      <c r="J58" s="1123"/>
      <c r="K58" s="1107"/>
      <c r="L58" s="1123"/>
      <c r="M58" s="1123">
        <v>1</v>
      </c>
      <c r="N58" s="1123"/>
      <c r="O58" s="1123"/>
      <c r="P58" s="1123"/>
      <c r="Q58" s="1123"/>
      <c r="R58" s="1123"/>
      <c r="S58" s="1123"/>
      <c r="T58" s="1123"/>
      <c r="U58" s="1123"/>
      <c r="V58" s="1123"/>
      <c r="W58" s="1123"/>
      <c r="X58" s="1123"/>
      <c r="Y58" s="1123"/>
      <c r="Z58" s="1123"/>
      <c r="AA58" s="997">
        <f t="shared" si="2"/>
        <v>1</v>
      </c>
      <c r="AB58" s="1126"/>
      <c r="AC58" s="997">
        <f t="shared" si="0"/>
        <v>0</v>
      </c>
    </row>
    <row r="59" spans="1:29">
      <c r="A59" s="1125" t="s">
        <v>2043</v>
      </c>
      <c r="B59" s="1133" t="s">
        <v>1227</v>
      </c>
      <c r="C59" s="1327"/>
      <c r="D59" s="737" t="s">
        <v>18</v>
      </c>
      <c r="E59" s="1123"/>
      <c r="F59" s="1123"/>
      <c r="G59" s="1123"/>
      <c r="H59" s="1123"/>
      <c r="I59" s="1123"/>
      <c r="J59" s="1123"/>
      <c r="K59" s="1123"/>
      <c r="L59" s="1123"/>
      <c r="M59" s="1123">
        <v>1</v>
      </c>
      <c r="N59" s="1123"/>
      <c r="O59" s="1123"/>
      <c r="P59" s="1123"/>
      <c r="Q59" s="1123"/>
      <c r="R59" s="1123"/>
      <c r="S59" s="1123"/>
      <c r="T59" s="1123"/>
      <c r="U59" s="1123"/>
      <c r="V59" s="1123"/>
      <c r="W59" s="1123"/>
      <c r="X59" s="1123"/>
      <c r="Y59" s="1123"/>
      <c r="Z59" s="1123"/>
      <c r="AA59" s="997">
        <f t="shared" si="2"/>
        <v>1</v>
      </c>
      <c r="AB59" s="1126"/>
      <c r="AC59" s="997">
        <f t="shared" si="0"/>
        <v>0</v>
      </c>
    </row>
    <row r="60" spans="1:29">
      <c r="A60" s="1125" t="s">
        <v>2044</v>
      </c>
      <c r="B60" s="1133" t="s">
        <v>1228</v>
      </c>
      <c r="C60" s="1327"/>
      <c r="D60" s="737" t="s">
        <v>18</v>
      </c>
      <c r="E60" s="1123"/>
      <c r="F60" s="1123"/>
      <c r="G60" s="1123"/>
      <c r="H60" s="1123"/>
      <c r="I60" s="1123"/>
      <c r="J60" s="1123"/>
      <c r="K60" s="1123"/>
      <c r="L60" s="1123"/>
      <c r="M60" s="1107"/>
      <c r="N60" s="1123">
        <v>1</v>
      </c>
      <c r="O60" s="1123"/>
      <c r="P60" s="1123"/>
      <c r="Q60" s="1123"/>
      <c r="R60" s="1123"/>
      <c r="S60" s="1123"/>
      <c r="T60" s="1123"/>
      <c r="U60" s="1123"/>
      <c r="V60" s="1123"/>
      <c r="W60" s="1123"/>
      <c r="X60" s="1123"/>
      <c r="Y60" s="1123"/>
      <c r="Z60" s="1123"/>
      <c r="AA60" s="997">
        <f t="shared" si="2"/>
        <v>1</v>
      </c>
      <c r="AB60" s="1126"/>
      <c r="AC60" s="997">
        <f t="shared" si="0"/>
        <v>0</v>
      </c>
    </row>
    <row r="61" spans="1:29">
      <c r="A61" s="1125" t="s">
        <v>2045</v>
      </c>
      <c r="B61" s="1133" t="s">
        <v>1229</v>
      </c>
      <c r="C61" s="1327"/>
      <c r="D61" s="737" t="s">
        <v>18</v>
      </c>
      <c r="E61" s="1123"/>
      <c r="F61" s="1123"/>
      <c r="G61" s="1123"/>
      <c r="H61" s="1123"/>
      <c r="I61" s="1123"/>
      <c r="J61" s="1123"/>
      <c r="K61" s="1123"/>
      <c r="L61" s="1123"/>
      <c r="M61" s="1123"/>
      <c r="N61" s="1123">
        <v>1</v>
      </c>
      <c r="O61" s="1123"/>
      <c r="P61" s="1123"/>
      <c r="Q61" s="1123"/>
      <c r="R61" s="1123"/>
      <c r="S61" s="1123"/>
      <c r="T61" s="1123"/>
      <c r="U61" s="1123"/>
      <c r="V61" s="1123"/>
      <c r="W61" s="1123"/>
      <c r="X61" s="1123"/>
      <c r="Y61" s="1123"/>
      <c r="Z61" s="1123"/>
      <c r="AA61" s="997">
        <f t="shared" si="2"/>
        <v>1</v>
      </c>
      <c r="AB61" s="1126"/>
      <c r="AC61" s="997">
        <f t="shared" si="0"/>
        <v>0</v>
      </c>
    </row>
    <row r="62" spans="1:29">
      <c r="A62" s="1125" t="s">
        <v>2046</v>
      </c>
      <c r="B62" s="1133" t="s">
        <v>1230</v>
      </c>
      <c r="C62" s="1327"/>
      <c r="D62" s="737" t="s">
        <v>18</v>
      </c>
      <c r="E62" s="1123"/>
      <c r="F62" s="1123"/>
      <c r="G62" s="1123"/>
      <c r="H62" s="1123"/>
      <c r="I62" s="1123"/>
      <c r="J62" s="1123"/>
      <c r="K62" s="1123"/>
      <c r="L62" s="1123"/>
      <c r="M62" s="1123"/>
      <c r="N62" s="1107"/>
      <c r="O62" s="1123">
        <v>1</v>
      </c>
      <c r="P62" s="1123"/>
      <c r="Q62" s="1123"/>
      <c r="R62" s="1123"/>
      <c r="S62" s="1123"/>
      <c r="T62" s="1123"/>
      <c r="U62" s="1123"/>
      <c r="V62" s="1123"/>
      <c r="W62" s="1123"/>
      <c r="X62" s="1123"/>
      <c r="Y62" s="1123"/>
      <c r="Z62" s="1123"/>
      <c r="AA62" s="997">
        <f t="shared" si="2"/>
        <v>1</v>
      </c>
      <c r="AB62" s="1126"/>
      <c r="AC62" s="997">
        <f t="shared" si="0"/>
        <v>0</v>
      </c>
    </row>
    <row r="63" spans="1:29">
      <c r="A63" s="1125" t="s">
        <v>2047</v>
      </c>
      <c r="B63" s="1133" t="s">
        <v>1231</v>
      </c>
      <c r="C63" s="1327"/>
      <c r="D63" s="737" t="s">
        <v>18</v>
      </c>
      <c r="E63" s="1123"/>
      <c r="F63" s="1123"/>
      <c r="G63" s="1123"/>
      <c r="H63" s="1123"/>
      <c r="I63" s="1123"/>
      <c r="J63" s="1123"/>
      <c r="K63" s="1123"/>
      <c r="L63" s="1123"/>
      <c r="M63" s="1123"/>
      <c r="N63" s="1123"/>
      <c r="O63" s="1123">
        <v>1</v>
      </c>
      <c r="P63" s="1123"/>
      <c r="Q63" s="1123"/>
      <c r="R63" s="1123"/>
      <c r="S63" s="1123"/>
      <c r="T63" s="1123"/>
      <c r="U63" s="1123"/>
      <c r="V63" s="1123"/>
      <c r="W63" s="1123"/>
      <c r="X63" s="1123"/>
      <c r="Y63" s="1123"/>
      <c r="Z63" s="1123"/>
      <c r="AA63" s="997">
        <f t="shared" si="2"/>
        <v>1</v>
      </c>
      <c r="AB63" s="1126"/>
      <c r="AC63" s="997">
        <f t="shared" si="0"/>
        <v>0</v>
      </c>
    </row>
    <row r="64" spans="1:29">
      <c r="A64" s="1125" t="s">
        <v>2048</v>
      </c>
      <c r="B64" s="1133" t="s">
        <v>1232</v>
      </c>
      <c r="C64" s="1327"/>
      <c r="D64" s="737" t="s">
        <v>18</v>
      </c>
      <c r="E64" s="1123"/>
      <c r="F64" s="1123"/>
      <c r="G64" s="1123"/>
      <c r="H64" s="1123"/>
      <c r="I64" s="1123"/>
      <c r="J64" s="1123"/>
      <c r="K64" s="1123"/>
      <c r="L64" s="1123"/>
      <c r="M64" s="1123"/>
      <c r="N64" s="1123"/>
      <c r="O64" s="1123">
        <v>1</v>
      </c>
      <c r="P64" s="1123"/>
      <c r="Q64" s="1123"/>
      <c r="R64" s="1123"/>
      <c r="S64" s="1123"/>
      <c r="T64" s="1123"/>
      <c r="U64" s="1123"/>
      <c r="V64" s="1123"/>
      <c r="W64" s="1123"/>
      <c r="X64" s="1123"/>
      <c r="Y64" s="1123"/>
      <c r="Z64" s="1123"/>
      <c r="AA64" s="997">
        <f t="shared" si="2"/>
        <v>1</v>
      </c>
      <c r="AB64" s="1126"/>
      <c r="AC64" s="997">
        <f t="shared" si="0"/>
        <v>0</v>
      </c>
    </row>
    <row r="65" spans="1:29">
      <c r="A65" s="1125" t="s">
        <v>2049</v>
      </c>
      <c r="B65" s="1133" t="s">
        <v>1233</v>
      </c>
      <c r="C65" s="1327"/>
      <c r="D65" s="737" t="s">
        <v>18</v>
      </c>
      <c r="E65" s="1123"/>
      <c r="F65" s="1123"/>
      <c r="G65" s="1123"/>
      <c r="H65" s="1123"/>
      <c r="I65" s="1123"/>
      <c r="J65" s="1123"/>
      <c r="K65" s="1123"/>
      <c r="L65" s="1123"/>
      <c r="M65" s="1123"/>
      <c r="N65" s="1123"/>
      <c r="O65" s="1123">
        <v>1</v>
      </c>
      <c r="P65" s="1123"/>
      <c r="Q65" s="1123"/>
      <c r="R65" s="1123"/>
      <c r="S65" s="1123"/>
      <c r="T65" s="1123"/>
      <c r="U65" s="1123"/>
      <c r="V65" s="1123"/>
      <c r="W65" s="1123"/>
      <c r="X65" s="1123"/>
      <c r="Y65" s="1123"/>
      <c r="Z65" s="1123"/>
      <c r="AA65" s="997">
        <f t="shared" si="2"/>
        <v>1</v>
      </c>
      <c r="AB65" s="1126"/>
      <c r="AC65" s="997">
        <f t="shared" si="0"/>
        <v>0</v>
      </c>
    </row>
    <row r="66" spans="1:29">
      <c r="A66" s="1125" t="s">
        <v>2050</v>
      </c>
      <c r="B66" s="1133" t="s">
        <v>1234</v>
      </c>
      <c r="C66" s="1327"/>
      <c r="D66" s="737" t="s">
        <v>18</v>
      </c>
      <c r="E66" s="1123"/>
      <c r="F66" s="1123"/>
      <c r="G66" s="1123"/>
      <c r="H66" s="1123"/>
      <c r="I66" s="1123"/>
      <c r="J66" s="1123"/>
      <c r="K66" s="1123"/>
      <c r="L66" s="1123"/>
      <c r="M66" s="1123"/>
      <c r="N66" s="1123"/>
      <c r="O66" s="1123">
        <v>1</v>
      </c>
      <c r="P66" s="1123"/>
      <c r="Q66" s="1123"/>
      <c r="R66" s="1123"/>
      <c r="S66" s="1123"/>
      <c r="T66" s="1123"/>
      <c r="U66" s="1123"/>
      <c r="V66" s="1123"/>
      <c r="W66" s="1123"/>
      <c r="X66" s="1123"/>
      <c r="Y66" s="1123"/>
      <c r="Z66" s="1123"/>
      <c r="AA66" s="997">
        <f t="shared" si="2"/>
        <v>1</v>
      </c>
      <c r="AB66" s="1126"/>
      <c r="AC66" s="997">
        <f t="shared" ref="AC66:AC128" si="3">AA66*AB66</f>
        <v>0</v>
      </c>
    </row>
    <row r="67" spans="1:29">
      <c r="A67" s="1125" t="s">
        <v>2051</v>
      </c>
      <c r="B67" s="1133" t="s">
        <v>1235</v>
      </c>
      <c r="C67" s="1327"/>
      <c r="D67" s="737" t="s">
        <v>18</v>
      </c>
      <c r="E67" s="1123"/>
      <c r="F67" s="1123"/>
      <c r="G67" s="1123"/>
      <c r="H67" s="1123"/>
      <c r="I67" s="1123"/>
      <c r="J67" s="1123"/>
      <c r="K67" s="1123"/>
      <c r="L67" s="1123"/>
      <c r="M67" s="1123"/>
      <c r="N67" s="1123"/>
      <c r="O67" s="1123">
        <v>1</v>
      </c>
      <c r="P67" s="1123"/>
      <c r="Q67" s="1123"/>
      <c r="R67" s="1123"/>
      <c r="S67" s="1123"/>
      <c r="T67" s="1123"/>
      <c r="U67" s="1123"/>
      <c r="V67" s="1123"/>
      <c r="W67" s="1123"/>
      <c r="X67" s="1123"/>
      <c r="Y67" s="1123"/>
      <c r="Z67" s="1123"/>
      <c r="AA67" s="997">
        <f t="shared" si="2"/>
        <v>1</v>
      </c>
      <c r="AB67" s="1126"/>
      <c r="AC67" s="997">
        <f t="shared" si="3"/>
        <v>0</v>
      </c>
    </row>
    <row r="68" spans="1:29">
      <c r="A68" s="1125" t="s">
        <v>2052</v>
      </c>
      <c r="B68" s="1133" t="s">
        <v>1236</v>
      </c>
      <c r="C68" s="1327"/>
      <c r="D68" s="737" t="s">
        <v>18</v>
      </c>
      <c r="E68" s="1123"/>
      <c r="F68" s="1123"/>
      <c r="G68" s="1123"/>
      <c r="H68" s="1123"/>
      <c r="I68" s="1123"/>
      <c r="J68" s="1123"/>
      <c r="K68" s="1123"/>
      <c r="L68" s="1123"/>
      <c r="M68" s="1123"/>
      <c r="N68" s="1123"/>
      <c r="O68" s="1123">
        <v>1</v>
      </c>
      <c r="P68" s="1123"/>
      <c r="Q68" s="1123"/>
      <c r="R68" s="1123"/>
      <c r="S68" s="1123"/>
      <c r="T68" s="1123"/>
      <c r="U68" s="1123"/>
      <c r="V68" s="1123"/>
      <c r="W68" s="1123"/>
      <c r="X68" s="1123"/>
      <c r="Y68" s="1123"/>
      <c r="Z68" s="1123"/>
      <c r="AA68" s="997">
        <f t="shared" si="2"/>
        <v>1</v>
      </c>
      <c r="AB68" s="1126"/>
      <c r="AC68" s="997">
        <f t="shared" si="3"/>
        <v>0</v>
      </c>
    </row>
    <row r="69" spans="1:29">
      <c r="A69" s="1125" t="s">
        <v>2053</v>
      </c>
      <c r="B69" s="1133" t="s">
        <v>1237</v>
      </c>
      <c r="C69" s="1327"/>
      <c r="D69" s="737" t="s">
        <v>18</v>
      </c>
      <c r="E69" s="1123"/>
      <c r="F69" s="1123"/>
      <c r="G69" s="1123"/>
      <c r="H69" s="1123"/>
      <c r="I69" s="1123"/>
      <c r="J69" s="1123"/>
      <c r="K69" s="1123"/>
      <c r="L69" s="1123"/>
      <c r="M69" s="1123"/>
      <c r="N69" s="1123"/>
      <c r="O69" s="1123"/>
      <c r="P69" s="1123">
        <v>1</v>
      </c>
      <c r="Q69" s="1123"/>
      <c r="R69" s="1123"/>
      <c r="S69" s="1123"/>
      <c r="T69" s="1123"/>
      <c r="U69" s="1123"/>
      <c r="V69" s="1123"/>
      <c r="W69" s="1123"/>
      <c r="X69" s="1123"/>
      <c r="Y69" s="1123"/>
      <c r="Z69" s="1123"/>
      <c r="AA69" s="997">
        <f t="shared" si="2"/>
        <v>1</v>
      </c>
      <c r="AB69" s="1126"/>
      <c r="AC69" s="997">
        <f t="shared" si="3"/>
        <v>0</v>
      </c>
    </row>
    <row r="70" spans="1:29">
      <c r="A70" s="1125" t="s">
        <v>2054</v>
      </c>
      <c r="B70" s="1133" t="s">
        <v>1238</v>
      </c>
      <c r="C70" s="1327"/>
      <c r="D70" s="737" t="s">
        <v>18</v>
      </c>
      <c r="E70" s="1123"/>
      <c r="F70" s="1123"/>
      <c r="G70" s="1123"/>
      <c r="H70" s="1123"/>
      <c r="I70" s="1123"/>
      <c r="J70" s="1123"/>
      <c r="K70" s="1123"/>
      <c r="L70" s="1123"/>
      <c r="M70" s="1123"/>
      <c r="N70" s="1123"/>
      <c r="O70" s="1123"/>
      <c r="P70" s="1123">
        <v>1</v>
      </c>
      <c r="Q70" s="1123"/>
      <c r="R70" s="1123"/>
      <c r="S70" s="1123"/>
      <c r="T70" s="1123"/>
      <c r="U70" s="1123"/>
      <c r="V70" s="1123"/>
      <c r="W70" s="1123"/>
      <c r="X70" s="1123"/>
      <c r="Y70" s="1123"/>
      <c r="Z70" s="1123"/>
      <c r="AA70" s="997">
        <f t="shared" si="2"/>
        <v>1</v>
      </c>
      <c r="AB70" s="1126"/>
      <c r="AC70" s="997">
        <f t="shared" si="3"/>
        <v>0</v>
      </c>
    </row>
    <row r="71" spans="1:29">
      <c r="A71" s="1125" t="s">
        <v>2055</v>
      </c>
      <c r="B71" s="1133" t="s">
        <v>1239</v>
      </c>
      <c r="C71" s="1327"/>
      <c r="D71" s="737" t="s">
        <v>18</v>
      </c>
      <c r="E71" s="1123"/>
      <c r="F71" s="1123"/>
      <c r="G71" s="1123"/>
      <c r="H71" s="1123"/>
      <c r="I71" s="1123"/>
      <c r="J71" s="1123"/>
      <c r="K71" s="1123"/>
      <c r="L71" s="1123"/>
      <c r="M71" s="1123"/>
      <c r="N71" s="1123"/>
      <c r="O71" s="1123"/>
      <c r="P71" s="1123">
        <v>1</v>
      </c>
      <c r="Q71" s="1123"/>
      <c r="R71" s="1123"/>
      <c r="S71" s="1123"/>
      <c r="T71" s="1123"/>
      <c r="U71" s="1123"/>
      <c r="V71" s="1123"/>
      <c r="W71" s="1123"/>
      <c r="X71" s="1123"/>
      <c r="Y71" s="1123"/>
      <c r="Z71" s="1123"/>
      <c r="AA71" s="997">
        <f t="shared" si="2"/>
        <v>1</v>
      </c>
      <c r="AB71" s="1126"/>
      <c r="AC71" s="997">
        <f t="shared" si="3"/>
        <v>0</v>
      </c>
    </row>
    <row r="72" spans="1:29">
      <c r="A72" s="1125" t="s">
        <v>2056</v>
      </c>
      <c r="B72" s="1133" t="s">
        <v>1240</v>
      </c>
      <c r="C72" s="1327"/>
      <c r="D72" s="737" t="s">
        <v>18</v>
      </c>
      <c r="E72" s="1123"/>
      <c r="F72" s="1123"/>
      <c r="G72" s="1123"/>
      <c r="H72" s="1123"/>
      <c r="I72" s="1123"/>
      <c r="J72" s="1123"/>
      <c r="K72" s="1123"/>
      <c r="L72" s="1123"/>
      <c r="M72" s="1123"/>
      <c r="N72" s="1123"/>
      <c r="O72" s="1123"/>
      <c r="P72" s="1123">
        <v>1</v>
      </c>
      <c r="Q72" s="1123"/>
      <c r="R72" s="1123"/>
      <c r="S72" s="1123"/>
      <c r="T72" s="1123"/>
      <c r="U72" s="1123"/>
      <c r="V72" s="1123"/>
      <c r="W72" s="1123"/>
      <c r="X72" s="1123"/>
      <c r="Y72" s="1123"/>
      <c r="Z72" s="1123"/>
      <c r="AA72" s="997">
        <f t="shared" si="2"/>
        <v>1</v>
      </c>
      <c r="AB72" s="1126"/>
      <c r="AC72" s="997">
        <f t="shared" si="3"/>
        <v>0</v>
      </c>
    </row>
    <row r="73" spans="1:29">
      <c r="A73" s="1125" t="s">
        <v>2057</v>
      </c>
      <c r="B73" s="1133" t="s">
        <v>1241</v>
      </c>
      <c r="C73" s="1327"/>
      <c r="D73" s="737" t="s">
        <v>18</v>
      </c>
      <c r="E73" s="1123"/>
      <c r="F73" s="1123"/>
      <c r="G73" s="1123"/>
      <c r="H73" s="1123"/>
      <c r="I73" s="1123"/>
      <c r="J73" s="1123"/>
      <c r="K73" s="1123"/>
      <c r="L73" s="1123"/>
      <c r="M73" s="1123"/>
      <c r="N73" s="1123"/>
      <c r="O73" s="1123"/>
      <c r="P73" s="1123"/>
      <c r="Q73" s="1123"/>
      <c r="R73" s="1123">
        <v>1</v>
      </c>
      <c r="S73" s="1123"/>
      <c r="T73" s="1123"/>
      <c r="U73" s="1123"/>
      <c r="V73" s="1123"/>
      <c r="W73" s="1123"/>
      <c r="X73" s="1123"/>
      <c r="Y73" s="1123"/>
      <c r="Z73" s="1123"/>
      <c r="AA73" s="997">
        <f t="shared" si="2"/>
        <v>1</v>
      </c>
      <c r="AB73" s="1126"/>
      <c r="AC73" s="997">
        <f t="shared" si="3"/>
        <v>0</v>
      </c>
    </row>
    <row r="74" spans="1:29">
      <c r="A74" s="1125" t="s">
        <v>2058</v>
      </c>
      <c r="B74" s="1133" t="s">
        <v>1242</v>
      </c>
      <c r="C74" s="1327"/>
      <c r="D74" s="737" t="s">
        <v>18</v>
      </c>
      <c r="E74" s="1123"/>
      <c r="F74" s="1123"/>
      <c r="G74" s="1123"/>
      <c r="H74" s="1123"/>
      <c r="I74" s="1123"/>
      <c r="J74" s="1123"/>
      <c r="K74" s="1123"/>
      <c r="L74" s="1123"/>
      <c r="M74" s="1123"/>
      <c r="N74" s="1123"/>
      <c r="O74" s="1123"/>
      <c r="P74" s="1123"/>
      <c r="Q74" s="1123"/>
      <c r="R74" s="1123"/>
      <c r="S74" s="1123">
        <v>1</v>
      </c>
      <c r="T74" s="1123"/>
      <c r="U74" s="1123"/>
      <c r="V74" s="1123"/>
      <c r="W74" s="1123"/>
      <c r="X74" s="1123"/>
      <c r="Y74" s="1123"/>
      <c r="Z74" s="1123"/>
      <c r="AA74" s="997">
        <f t="shared" si="2"/>
        <v>1</v>
      </c>
      <c r="AB74" s="1126"/>
      <c r="AC74" s="997">
        <f t="shared" si="3"/>
        <v>0</v>
      </c>
    </row>
    <row r="75" spans="1:29">
      <c r="A75" s="1125" t="s">
        <v>2059</v>
      </c>
      <c r="B75" s="1133" t="s">
        <v>1243</v>
      </c>
      <c r="C75" s="1327"/>
      <c r="D75" s="737" t="s">
        <v>18</v>
      </c>
      <c r="E75" s="1123"/>
      <c r="F75" s="1123"/>
      <c r="G75" s="1123"/>
      <c r="H75" s="1123"/>
      <c r="I75" s="1123"/>
      <c r="J75" s="1123"/>
      <c r="K75" s="1123"/>
      <c r="L75" s="1123"/>
      <c r="M75" s="1123"/>
      <c r="N75" s="1123"/>
      <c r="O75" s="1123"/>
      <c r="P75" s="1123"/>
      <c r="Q75" s="1123"/>
      <c r="R75" s="1123"/>
      <c r="S75" s="1123">
        <v>1</v>
      </c>
      <c r="T75" s="1123"/>
      <c r="U75" s="1123"/>
      <c r="V75" s="1123"/>
      <c r="W75" s="1123"/>
      <c r="X75" s="1123"/>
      <c r="Y75" s="1123"/>
      <c r="Z75" s="1123"/>
      <c r="AA75" s="997">
        <f t="shared" si="2"/>
        <v>1</v>
      </c>
      <c r="AB75" s="1126"/>
      <c r="AC75" s="997">
        <f t="shared" si="3"/>
        <v>0</v>
      </c>
    </row>
    <row r="76" spans="1:29">
      <c r="A76" s="1125" t="s">
        <v>2060</v>
      </c>
      <c r="B76" s="1133" t="s">
        <v>1244</v>
      </c>
      <c r="C76" s="1327"/>
      <c r="D76" s="737" t="s">
        <v>18</v>
      </c>
      <c r="E76" s="1123"/>
      <c r="F76" s="1123"/>
      <c r="G76" s="1123"/>
      <c r="H76" s="1123"/>
      <c r="I76" s="1123"/>
      <c r="J76" s="1123"/>
      <c r="K76" s="1123"/>
      <c r="L76" s="1123"/>
      <c r="M76" s="1123"/>
      <c r="N76" s="1123"/>
      <c r="O76" s="1123"/>
      <c r="P76" s="1123"/>
      <c r="Q76" s="1123"/>
      <c r="R76" s="1123"/>
      <c r="S76" s="1123">
        <v>1</v>
      </c>
      <c r="T76" s="1123"/>
      <c r="U76" s="1123"/>
      <c r="V76" s="1123"/>
      <c r="W76" s="1123"/>
      <c r="X76" s="1123"/>
      <c r="Y76" s="1123"/>
      <c r="Z76" s="1123"/>
      <c r="AA76" s="997">
        <f t="shared" si="2"/>
        <v>1</v>
      </c>
      <c r="AB76" s="1126"/>
      <c r="AC76" s="997">
        <f t="shared" si="3"/>
        <v>0</v>
      </c>
    </row>
    <row r="77" spans="1:29">
      <c r="A77" s="1125" t="s">
        <v>2061</v>
      </c>
      <c r="B77" s="1133" t="s">
        <v>1245</v>
      </c>
      <c r="C77" s="1327"/>
      <c r="D77" s="737" t="s">
        <v>18</v>
      </c>
      <c r="E77" s="1123"/>
      <c r="F77" s="1123"/>
      <c r="G77" s="1123"/>
      <c r="H77" s="1123"/>
      <c r="I77" s="1123"/>
      <c r="J77" s="1123"/>
      <c r="K77" s="1123"/>
      <c r="L77" s="1123"/>
      <c r="M77" s="1123"/>
      <c r="N77" s="1123"/>
      <c r="O77" s="1123"/>
      <c r="P77" s="1123"/>
      <c r="Q77" s="1123"/>
      <c r="R77" s="1123"/>
      <c r="S77" s="1123">
        <v>1</v>
      </c>
      <c r="T77" s="1123"/>
      <c r="U77" s="1123"/>
      <c r="V77" s="1123"/>
      <c r="W77" s="1123"/>
      <c r="X77" s="1123"/>
      <c r="Y77" s="1123"/>
      <c r="Z77" s="1123"/>
      <c r="AA77" s="997">
        <f t="shared" ref="AA77:AA105" si="4">SUM(E77:Z77)</f>
        <v>1</v>
      </c>
      <c r="AB77" s="1126"/>
      <c r="AC77" s="997">
        <f t="shared" si="3"/>
        <v>0</v>
      </c>
    </row>
    <row r="78" spans="1:29">
      <c r="A78" s="1125" t="s">
        <v>2062</v>
      </c>
      <c r="B78" s="1133" t="s">
        <v>1246</v>
      </c>
      <c r="C78" s="1327"/>
      <c r="D78" s="737" t="s">
        <v>18</v>
      </c>
      <c r="E78" s="1123"/>
      <c r="F78" s="1123"/>
      <c r="G78" s="1123"/>
      <c r="H78" s="1123"/>
      <c r="I78" s="1123"/>
      <c r="J78" s="1123"/>
      <c r="K78" s="1123"/>
      <c r="L78" s="1123"/>
      <c r="M78" s="1123"/>
      <c r="N78" s="1123"/>
      <c r="O78" s="1123"/>
      <c r="P78" s="1123"/>
      <c r="Q78" s="1123"/>
      <c r="R78" s="1123"/>
      <c r="S78" s="1123">
        <v>1</v>
      </c>
      <c r="T78" s="1123"/>
      <c r="U78" s="1123"/>
      <c r="V78" s="1123"/>
      <c r="W78" s="1123"/>
      <c r="X78" s="1123"/>
      <c r="Y78" s="1123"/>
      <c r="Z78" s="1123"/>
      <c r="AA78" s="997">
        <f t="shared" si="4"/>
        <v>1</v>
      </c>
      <c r="AB78" s="1126"/>
      <c r="AC78" s="997">
        <f t="shared" si="3"/>
        <v>0</v>
      </c>
    </row>
    <row r="79" spans="1:29">
      <c r="A79" s="1125" t="s">
        <v>2063</v>
      </c>
      <c r="B79" s="1133" t="s">
        <v>1247</v>
      </c>
      <c r="C79" s="1327"/>
      <c r="D79" s="737" t="s">
        <v>18</v>
      </c>
      <c r="E79" s="1123"/>
      <c r="F79" s="1123"/>
      <c r="G79" s="1123"/>
      <c r="H79" s="1123"/>
      <c r="I79" s="1123"/>
      <c r="J79" s="1123"/>
      <c r="K79" s="1123"/>
      <c r="L79" s="1123"/>
      <c r="M79" s="1123"/>
      <c r="N79" s="1123"/>
      <c r="O79" s="1123"/>
      <c r="P79" s="1123"/>
      <c r="Q79" s="1123"/>
      <c r="R79" s="1123"/>
      <c r="S79" s="1123">
        <v>1</v>
      </c>
      <c r="T79" s="1123"/>
      <c r="U79" s="1123"/>
      <c r="V79" s="1123"/>
      <c r="W79" s="1123"/>
      <c r="X79" s="1123"/>
      <c r="Y79" s="1123"/>
      <c r="Z79" s="1123"/>
      <c r="AA79" s="997">
        <f t="shared" si="4"/>
        <v>1</v>
      </c>
      <c r="AB79" s="1126"/>
      <c r="AC79" s="997">
        <f t="shared" si="3"/>
        <v>0</v>
      </c>
    </row>
    <row r="80" spans="1:29">
      <c r="A80" s="1125" t="s">
        <v>2064</v>
      </c>
      <c r="B80" s="1133" t="s">
        <v>1248</v>
      </c>
      <c r="C80" s="1327"/>
      <c r="D80" s="737" t="s">
        <v>18</v>
      </c>
      <c r="E80" s="1123"/>
      <c r="F80" s="1123"/>
      <c r="G80" s="1123"/>
      <c r="H80" s="1123"/>
      <c r="I80" s="1123"/>
      <c r="J80" s="1123"/>
      <c r="K80" s="1123"/>
      <c r="L80" s="1123"/>
      <c r="M80" s="1123"/>
      <c r="N80" s="1123"/>
      <c r="O80" s="1123"/>
      <c r="P80" s="1123"/>
      <c r="Q80" s="1123"/>
      <c r="R80" s="1123"/>
      <c r="S80" s="1123"/>
      <c r="T80" s="1123">
        <v>1</v>
      </c>
      <c r="U80" s="1123"/>
      <c r="V80" s="1123"/>
      <c r="W80" s="1123"/>
      <c r="X80" s="1123"/>
      <c r="Y80" s="1123"/>
      <c r="Z80" s="1123"/>
      <c r="AA80" s="997">
        <f t="shared" si="4"/>
        <v>1</v>
      </c>
      <c r="AB80" s="1126"/>
      <c r="AC80" s="997">
        <f t="shared" si="3"/>
        <v>0</v>
      </c>
    </row>
    <row r="81" spans="1:29">
      <c r="A81" s="1125" t="s">
        <v>2065</v>
      </c>
      <c r="B81" s="1133" t="s">
        <v>1249</v>
      </c>
      <c r="C81" s="1327"/>
      <c r="D81" s="737" t="s">
        <v>18</v>
      </c>
      <c r="E81" s="1123"/>
      <c r="F81" s="1123"/>
      <c r="G81" s="1123"/>
      <c r="H81" s="1123"/>
      <c r="I81" s="1123"/>
      <c r="J81" s="1123"/>
      <c r="K81" s="1123"/>
      <c r="L81" s="1123"/>
      <c r="M81" s="1123"/>
      <c r="N81" s="1123"/>
      <c r="O81" s="1123"/>
      <c r="P81" s="1123"/>
      <c r="Q81" s="1123"/>
      <c r="R81" s="1123"/>
      <c r="S81" s="1123"/>
      <c r="T81" s="1123">
        <v>1</v>
      </c>
      <c r="U81" s="1123"/>
      <c r="V81" s="1123"/>
      <c r="W81" s="1123"/>
      <c r="X81" s="1123"/>
      <c r="Y81" s="1123"/>
      <c r="Z81" s="1123"/>
      <c r="AA81" s="997">
        <f t="shared" si="4"/>
        <v>1</v>
      </c>
      <c r="AB81" s="1126"/>
      <c r="AC81" s="997">
        <f t="shared" si="3"/>
        <v>0</v>
      </c>
    </row>
    <row r="82" spans="1:29">
      <c r="A82" s="1125" t="s">
        <v>2066</v>
      </c>
      <c r="B82" s="1133" t="s">
        <v>1264</v>
      </c>
      <c r="C82" s="1327"/>
      <c r="D82" s="737" t="s">
        <v>18</v>
      </c>
      <c r="E82" s="1123"/>
      <c r="F82" s="1123"/>
      <c r="G82" s="1123"/>
      <c r="H82" s="1123"/>
      <c r="I82" s="1123"/>
      <c r="J82" s="1123"/>
      <c r="K82" s="1123"/>
      <c r="L82" s="1123"/>
      <c r="M82" s="1123"/>
      <c r="N82" s="1123"/>
      <c r="O82" s="1123"/>
      <c r="P82" s="1123"/>
      <c r="Q82" s="1123"/>
      <c r="R82" s="1123"/>
      <c r="S82" s="1123"/>
      <c r="T82" s="1123"/>
      <c r="U82" s="1123">
        <v>1</v>
      </c>
      <c r="V82" s="1123"/>
      <c r="W82" s="1123"/>
      <c r="X82" s="1123"/>
      <c r="Y82" s="1123"/>
      <c r="Z82" s="1123"/>
      <c r="AA82" s="997">
        <f t="shared" si="4"/>
        <v>1</v>
      </c>
      <c r="AB82" s="1126"/>
      <c r="AC82" s="997">
        <f t="shared" si="3"/>
        <v>0</v>
      </c>
    </row>
    <row r="83" spans="1:29">
      <c r="A83" s="1125" t="s">
        <v>2067</v>
      </c>
      <c r="B83" s="1133" t="s">
        <v>1265</v>
      </c>
      <c r="C83" s="1327"/>
      <c r="D83" s="737" t="s">
        <v>18</v>
      </c>
      <c r="E83" s="1123"/>
      <c r="F83" s="1123"/>
      <c r="G83" s="1123"/>
      <c r="H83" s="1123"/>
      <c r="I83" s="1123"/>
      <c r="J83" s="1123"/>
      <c r="K83" s="1123"/>
      <c r="L83" s="1123"/>
      <c r="M83" s="1123"/>
      <c r="N83" s="1123"/>
      <c r="O83" s="1123"/>
      <c r="P83" s="1123"/>
      <c r="Q83" s="1123"/>
      <c r="R83" s="1123"/>
      <c r="S83" s="1123"/>
      <c r="T83" s="1123"/>
      <c r="U83" s="1123"/>
      <c r="V83" s="1123">
        <v>1</v>
      </c>
      <c r="W83" s="1123"/>
      <c r="X83" s="1123"/>
      <c r="Y83" s="1123"/>
      <c r="Z83" s="1123"/>
      <c r="AA83" s="997">
        <f t="shared" si="4"/>
        <v>1</v>
      </c>
      <c r="AB83" s="1126"/>
      <c r="AC83" s="997">
        <f t="shared" si="3"/>
        <v>0</v>
      </c>
    </row>
    <row r="84" spans="1:29">
      <c r="A84" s="1125" t="s">
        <v>2068</v>
      </c>
      <c r="B84" s="1133" t="s">
        <v>1266</v>
      </c>
      <c r="C84" s="1327"/>
      <c r="D84" s="737" t="s">
        <v>18</v>
      </c>
      <c r="E84" s="1123"/>
      <c r="F84" s="1123"/>
      <c r="G84" s="1123"/>
      <c r="H84" s="1123"/>
      <c r="I84" s="1123"/>
      <c r="J84" s="1123"/>
      <c r="K84" s="1123"/>
      <c r="L84" s="1123"/>
      <c r="M84" s="1123"/>
      <c r="N84" s="1123"/>
      <c r="O84" s="1123"/>
      <c r="P84" s="1123"/>
      <c r="Q84" s="1123"/>
      <c r="R84" s="1123"/>
      <c r="S84" s="1123"/>
      <c r="T84" s="1123"/>
      <c r="U84" s="1123"/>
      <c r="V84" s="1123">
        <v>1</v>
      </c>
      <c r="W84" s="1123"/>
      <c r="X84" s="1123"/>
      <c r="Y84" s="1123"/>
      <c r="Z84" s="1123"/>
      <c r="AA84" s="997">
        <f t="shared" si="4"/>
        <v>1</v>
      </c>
      <c r="AB84" s="1126"/>
      <c r="AC84" s="997">
        <f t="shared" si="3"/>
        <v>0</v>
      </c>
    </row>
    <row r="85" spans="1:29">
      <c r="A85" s="1125" t="s">
        <v>2069</v>
      </c>
      <c r="B85" s="1133" t="s">
        <v>1267</v>
      </c>
      <c r="C85" s="1327"/>
      <c r="D85" s="737" t="s">
        <v>18</v>
      </c>
      <c r="E85" s="1123"/>
      <c r="F85" s="1123"/>
      <c r="G85" s="1123"/>
      <c r="H85" s="1123"/>
      <c r="I85" s="1123"/>
      <c r="J85" s="1123"/>
      <c r="K85" s="1123"/>
      <c r="L85" s="1123"/>
      <c r="M85" s="1123"/>
      <c r="N85" s="1123"/>
      <c r="O85" s="1123"/>
      <c r="P85" s="1123"/>
      <c r="Q85" s="1123"/>
      <c r="R85" s="1123"/>
      <c r="S85" s="1123"/>
      <c r="T85" s="1123"/>
      <c r="U85" s="1123"/>
      <c r="V85" s="1123">
        <v>1</v>
      </c>
      <c r="W85" s="1123"/>
      <c r="X85" s="1123"/>
      <c r="Y85" s="1123"/>
      <c r="Z85" s="1123"/>
      <c r="AA85" s="997">
        <f t="shared" si="4"/>
        <v>1</v>
      </c>
      <c r="AB85" s="1126"/>
      <c r="AC85" s="997">
        <f t="shared" si="3"/>
        <v>0</v>
      </c>
    </row>
    <row r="86" spans="1:29">
      <c r="A86" s="1125" t="s">
        <v>2070</v>
      </c>
      <c r="B86" s="1133" t="s">
        <v>1268</v>
      </c>
      <c r="C86" s="1327"/>
      <c r="D86" s="737" t="s">
        <v>18</v>
      </c>
      <c r="E86" s="1123"/>
      <c r="F86" s="1123"/>
      <c r="G86" s="1123"/>
      <c r="H86" s="1123"/>
      <c r="I86" s="1123"/>
      <c r="J86" s="1123"/>
      <c r="K86" s="1123"/>
      <c r="L86" s="1123"/>
      <c r="M86" s="1123"/>
      <c r="N86" s="1123"/>
      <c r="O86" s="1123"/>
      <c r="P86" s="1123"/>
      <c r="Q86" s="1123"/>
      <c r="R86" s="1123"/>
      <c r="S86" s="1123"/>
      <c r="T86" s="1123"/>
      <c r="U86" s="1123"/>
      <c r="V86" s="1123">
        <v>1</v>
      </c>
      <c r="W86" s="1123"/>
      <c r="X86" s="1123"/>
      <c r="Y86" s="1123"/>
      <c r="Z86" s="1123"/>
      <c r="AA86" s="997">
        <f t="shared" si="4"/>
        <v>1</v>
      </c>
      <c r="AB86" s="1126"/>
      <c r="AC86" s="997">
        <f t="shared" si="3"/>
        <v>0</v>
      </c>
    </row>
    <row r="87" spans="1:29">
      <c r="A87" s="1125" t="s">
        <v>2071</v>
      </c>
      <c r="B87" s="1133" t="s">
        <v>1269</v>
      </c>
      <c r="C87" s="1327"/>
      <c r="D87" s="737" t="s">
        <v>18</v>
      </c>
      <c r="E87" s="1123"/>
      <c r="F87" s="1123"/>
      <c r="G87" s="1123"/>
      <c r="H87" s="1123"/>
      <c r="I87" s="1123"/>
      <c r="J87" s="1123"/>
      <c r="K87" s="1123"/>
      <c r="L87" s="1123"/>
      <c r="M87" s="1123"/>
      <c r="N87" s="1123"/>
      <c r="O87" s="1123"/>
      <c r="P87" s="1123"/>
      <c r="Q87" s="1123"/>
      <c r="R87" s="1123"/>
      <c r="S87" s="1123"/>
      <c r="T87" s="1123"/>
      <c r="U87" s="1123"/>
      <c r="V87" s="1123">
        <v>1</v>
      </c>
      <c r="W87" s="1123"/>
      <c r="X87" s="1123"/>
      <c r="Y87" s="1123"/>
      <c r="Z87" s="1123"/>
      <c r="AA87" s="997">
        <f t="shared" si="4"/>
        <v>1</v>
      </c>
      <c r="AB87" s="1126"/>
      <c r="AC87" s="997">
        <f t="shared" si="3"/>
        <v>0</v>
      </c>
    </row>
    <row r="88" spans="1:29">
      <c r="A88" s="1125" t="s">
        <v>2072</v>
      </c>
      <c r="B88" s="1133" t="s">
        <v>1270</v>
      </c>
      <c r="C88" s="1327"/>
      <c r="D88" s="737" t="s">
        <v>18</v>
      </c>
      <c r="E88" s="1123"/>
      <c r="F88" s="1123"/>
      <c r="G88" s="1123"/>
      <c r="H88" s="1123"/>
      <c r="I88" s="1123"/>
      <c r="J88" s="1123"/>
      <c r="K88" s="1123"/>
      <c r="L88" s="1123"/>
      <c r="M88" s="1123"/>
      <c r="N88" s="1123"/>
      <c r="O88" s="1123"/>
      <c r="P88" s="1123"/>
      <c r="Q88" s="1123"/>
      <c r="R88" s="1123"/>
      <c r="S88" s="1123"/>
      <c r="T88" s="1123"/>
      <c r="U88" s="1123"/>
      <c r="V88" s="1123">
        <v>1</v>
      </c>
      <c r="W88" s="1123"/>
      <c r="X88" s="1123"/>
      <c r="Y88" s="1123"/>
      <c r="Z88" s="1123"/>
      <c r="AA88" s="997">
        <f t="shared" si="4"/>
        <v>1</v>
      </c>
      <c r="AB88" s="1126"/>
      <c r="AC88" s="997">
        <f t="shared" si="3"/>
        <v>0</v>
      </c>
    </row>
    <row r="89" spans="1:29">
      <c r="A89" s="1125" t="s">
        <v>2073</v>
      </c>
      <c r="B89" s="1133" t="s">
        <v>1271</v>
      </c>
      <c r="C89" s="1327"/>
      <c r="D89" s="737" t="s">
        <v>18</v>
      </c>
      <c r="E89" s="1123"/>
      <c r="F89" s="1123"/>
      <c r="G89" s="1123"/>
      <c r="H89" s="1123"/>
      <c r="I89" s="1123"/>
      <c r="J89" s="1123"/>
      <c r="K89" s="1123"/>
      <c r="L89" s="1123"/>
      <c r="M89" s="1123"/>
      <c r="N89" s="1123"/>
      <c r="O89" s="1123"/>
      <c r="P89" s="1123"/>
      <c r="Q89" s="1123"/>
      <c r="R89" s="1123"/>
      <c r="S89" s="1123"/>
      <c r="T89" s="1123"/>
      <c r="U89" s="1123"/>
      <c r="V89" s="1123">
        <v>1</v>
      </c>
      <c r="W89" s="1123"/>
      <c r="X89" s="1123"/>
      <c r="Y89" s="1123"/>
      <c r="Z89" s="1123"/>
      <c r="AA89" s="997">
        <f t="shared" si="4"/>
        <v>1</v>
      </c>
      <c r="AB89" s="1126"/>
      <c r="AC89" s="997">
        <f t="shared" si="3"/>
        <v>0</v>
      </c>
    </row>
    <row r="90" spans="1:29">
      <c r="A90" s="1125" t="s">
        <v>2074</v>
      </c>
      <c r="B90" s="1133" t="s">
        <v>1272</v>
      </c>
      <c r="C90" s="1327"/>
      <c r="D90" s="737" t="s">
        <v>18</v>
      </c>
      <c r="E90" s="1123"/>
      <c r="F90" s="1123"/>
      <c r="G90" s="1123"/>
      <c r="H90" s="1123"/>
      <c r="I90" s="1123"/>
      <c r="J90" s="1123"/>
      <c r="K90" s="1123"/>
      <c r="L90" s="1123"/>
      <c r="M90" s="1123"/>
      <c r="N90" s="1123"/>
      <c r="O90" s="1123"/>
      <c r="P90" s="1123"/>
      <c r="Q90" s="1123"/>
      <c r="R90" s="1123"/>
      <c r="S90" s="1123"/>
      <c r="T90" s="1123"/>
      <c r="U90" s="1123"/>
      <c r="V90" s="1123">
        <v>1</v>
      </c>
      <c r="W90" s="1123"/>
      <c r="X90" s="1123"/>
      <c r="Y90" s="1123"/>
      <c r="Z90" s="1123"/>
      <c r="AA90" s="997">
        <f t="shared" si="4"/>
        <v>1</v>
      </c>
      <c r="AB90" s="1126"/>
      <c r="AC90" s="997">
        <f t="shared" si="3"/>
        <v>0</v>
      </c>
    </row>
    <row r="91" spans="1:29">
      <c r="A91" s="1125" t="s">
        <v>2075</v>
      </c>
      <c r="B91" s="1133" t="s">
        <v>1273</v>
      </c>
      <c r="C91" s="1327"/>
      <c r="D91" s="737" t="s">
        <v>18</v>
      </c>
      <c r="E91" s="1123"/>
      <c r="F91" s="1123"/>
      <c r="G91" s="1123"/>
      <c r="H91" s="1123"/>
      <c r="I91" s="1123"/>
      <c r="J91" s="1123"/>
      <c r="K91" s="1123"/>
      <c r="L91" s="1123"/>
      <c r="M91" s="1123"/>
      <c r="N91" s="1123"/>
      <c r="O91" s="1123"/>
      <c r="P91" s="1123"/>
      <c r="Q91" s="1123"/>
      <c r="R91" s="1123"/>
      <c r="S91" s="1123"/>
      <c r="T91" s="1123"/>
      <c r="U91" s="1123"/>
      <c r="V91" s="1123">
        <v>1</v>
      </c>
      <c r="W91" s="1123"/>
      <c r="X91" s="1123"/>
      <c r="Y91" s="1123"/>
      <c r="Z91" s="1123"/>
      <c r="AA91" s="997">
        <f t="shared" si="4"/>
        <v>1</v>
      </c>
      <c r="AB91" s="1126"/>
      <c r="AC91" s="997">
        <f t="shared" si="3"/>
        <v>0</v>
      </c>
    </row>
    <row r="92" spans="1:29">
      <c r="A92" s="1125" t="s">
        <v>2076</v>
      </c>
      <c r="B92" s="1133" t="s">
        <v>1274</v>
      </c>
      <c r="C92" s="1327"/>
      <c r="D92" s="737" t="s">
        <v>18</v>
      </c>
      <c r="E92" s="1123"/>
      <c r="F92" s="1123"/>
      <c r="G92" s="1123"/>
      <c r="H92" s="1123"/>
      <c r="I92" s="1123"/>
      <c r="J92" s="1123"/>
      <c r="K92" s="1123"/>
      <c r="L92" s="1123"/>
      <c r="M92" s="1123"/>
      <c r="N92" s="1123"/>
      <c r="O92" s="1123"/>
      <c r="P92" s="1123"/>
      <c r="Q92" s="1123"/>
      <c r="R92" s="1123"/>
      <c r="S92" s="1123"/>
      <c r="T92" s="1123"/>
      <c r="U92" s="1123"/>
      <c r="V92" s="1123"/>
      <c r="W92" s="1123">
        <v>1</v>
      </c>
      <c r="X92" s="1123"/>
      <c r="Y92" s="1123"/>
      <c r="Z92" s="1123"/>
      <c r="AA92" s="997">
        <f t="shared" si="4"/>
        <v>1</v>
      </c>
      <c r="AB92" s="1126"/>
      <c r="AC92" s="997">
        <f t="shared" si="3"/>
        <v>0</v>
      </c>
    </row>
    <row r="93" spans="1:29">
      <c r="A93" s="1125" t="s">
        <v>2077</v>
      </c>
      <c r="B93" s="1133" t="s">
        <v>1275</v>
      </c>
      <c r="C93" s="1327"/>
      <c r="D93" s="737" t="s">
        <v>18</v>
      </c>
      <c r="E93" s="1123"/>
      <c r="F93" s="1123"/>
      <c r="G93" s="1123"/>
      <c r="H93" s="1123"/>
      <c r="I93" s="1123"/>
      <c r="J93" s="1123"/>
      <c r="K93" s="1123"/>
      <c r="L93" s="1123"/>
      <c r="M93" s="1123"/>
      <c r="N93" s="1123"/>
      <c r="O93" s="1123"/>
      <c r="P93" s="1123"/>
      <c r="Q93" s="1123"/>
      <c r="R93" s="1123"/>
      <c r="S93" s="1123"/>
      <c r="T93" s="1123"/>
      <c r="U93" s="1123"/>
      <c r="V93" s="1123"/>
      <c r="W93" s="1123">
        <v>1</v>
      </c>
      <c r="X93" s="1123"/>
      <c r="Y93" s="1123"/>
      <c r="Z93" s="1123"/>
      <c r="AA93" s="997">
        <f t="shared" si="4"/>
        <v>1</v>
      </c>
      <c r="AB93" s="1126"/>
      <c r="AC93" s="997">
        <f t="shared" si="3"/>
        <v>0</v>
      </c>
    </row>
    <row r="94" spans="1:29">
      <c r="A94" s="1125" t="s">
        <v>2078</v>
      </c>
      <c r="B94" s="1133" t="s">
        <v>1276</v>
      </c>
      <c r="C94" s="1327"/>
      <c r="D94" s="737" t="s">
        <v>18</v>
      </c>
      <c r="E94" s="1123"/>
      <c r="F94" s="1123"/>
      <c r="G94" s="1123"/>
      <c r="H94" s="1123"/>
      <c r="I94" s="1123"/>
      <c r="J94" s="1123"/>
      <c r="K94" s="1123"/>
      <c r="L94" s="1123"/>
      <c r="M94" s="1123"/>
      <c r="N94" s="1123"/>
      <c r="O94" s="1123"/>
      <c r="P94" s="1123"/>
      <c r="Q94" s="1123"/>
      <c r="R94" s="1123"/>
      <c r="S94" s="1123"/>
      <c r="T94" s="1123"/>
      <c r="U94" s="1123"/>
      <c r="V94" s="1123"/>
      <c r="W94" s="1123">
        <v>1</v>
      </c>
      <c r="X94" s="1123"/>
      <c r="Y94" s="1123"/>
      <c r="Z94" s="1123"/>
      <c r="AA94" s="997">
        <f t="shared" si="4"/>
        <v>1</v>
      </c>
      <c r="AB94" s="1126"/>
      <c r="AC94" s="997">
        <f t="shared" si="3"/>
        <v>0</v>
      </c>
    </row>
    <row r="95" spans="1:29">
      <c r="A95" s="1125" t="s">
        <v>2079</v>
      </c>
      <c r="B95" s="1133" t="s">
        <v>1277</v>
      </c>
      <c r="C95" s="1327"/>
      <c r="D95" s="737" t="s">
        <v>18</v>
      </c>
      <c r="E95" s="1123"/>
      <c r="F95" s="1123"/>
      <c r="G95" s="1123"/>
      <c r="H95" s="1123"/>
      <c r="I95" s="1123"/>
      <c r="J95" s="1123"/>
      <c r="K95" s="1123"/>
      <c r="L95" s="1123"/>
      <c r="M95" s="1123"/>
      <c r="N95" s="1123"/>
      <c r="O95" s="1123"/>
      <c r="P95" s="1123"/>
      <c r="Q95" s="1123"/>
      <c r="R95" s="1123"/>
      <c r="S95" s="1123"/>
      <c r="T95" s="1123"/>
      <c r="U95" s="1123"/>
      <c r="V95" s="1123"/>
      <c r="W95" s="1123">
        <v>1</v>
      </c>
      <c r="X95" s="1123"/>
      <c r="Y95" s="1123"/>
      <c r="Z95" s="1123"/>
      <c r="AA95" s="997">
        <f t="shared" si="4"/>
        <v>1</v>
      </c>
      <c r="AB95" s="1126"/>
      <c r="AC95" s="997">
        <f t="shared" si="3"/>
        <v>0</v>
      </c>
    </row>
    <row r="96" spans="1:29">
      <c r="A96" s="1125" t="s">
        <v>2080</v>
      </c>
      <c r="B96" s="1133" t="s">
        <v>1278</v>
      </c>
      <c r="C96" s="1327"/>
      <c r="D96" s="737" t="s">
        <v>18</v>
      </c>
      <c r="E96" s="1123"/>
      <c r="F96" s="1123"/>
      <c r="G96" s="1123"/>
      <c r="H96" s="1123"/>
      <c r="I96" s="1123"/>
      <c r="J96" s="1123"/>
      <c r="K96" s="1123"/>
      <c r="L96" s="1123"/>
      <c r="M96" s="1123"/>
      <c r="N96" s="1123"/>
      <c r="O96" s="1123"/>
      <c r="P96" s="1123"/>
      <c r="Q96" s="1123"/>
      <c r="R96" s="1123"/>
      <c r="S96" s="1123"/>
      <c r="T96" s="1123"/>
      <c r="U96" s="1123"/>
      <c r="V96" s="1123"/>
      <c r="W96" s="1123">
        <v>1</v>
      </c>
      <c r="X96" s="1123"/>
      <c r="Y96" s="1123"/>
      <c r="Z96" s="1123"/>
      <c r="AA96" s="997">
        <f t="shared" si="4"/>
        <v>1</v>
      </c>
      <c r="AB96" s="1126"/>
      <c r="AC96" s="997">
        <f t="shared" si="3"/>
        <v>0</v>
      </c>
    </row>
    <row r="97" spans="1:29">
      <c r="A97" s="1125" t="s">
        <v>2081</v>
      </c>
      <c r="B97" s="1133" t="s">
        <v>1279</v>
      </c>
      <c r="C97" s="1327"/>
      <c r="D97" s="737" t="s">
        <v>18</v>
      </c>
      <c r="E97" s="1123"/>
      <c r="F97" s="1123"/>
      <c r="G97" s="1123"/>
      <c r="H97" s="1123"/>
      <c r="I97" s="1123"/>
      <c r="J97" s="1123"/>
      <c r="K97" s="1123"/>
      <c r="L97" s="1123"/>
      <c r="M97" s="1123"/>
      <c r="N97" s="1123"/>
      <c r="O97" s="1123"/>
      <c r="P97" s="1123"/>
      <c r="Q97" s="1123"/>
      <c r="R97" s="1123"/>
      <c r="S97" s="1123"/>
      <c r="T97" s="1123"/>
      <c r="U97" s="1123"/>
      <c r="V97" s="1123"/>
      <c r="W97" s="1123"/>
      <c r="X97" s="1123">
        <v>1</v>
      </c>
      <c r="Y97" s="1123"/>
      <c r="Z97" s="1123"/>
      <c r="AA97" s="997">
        <f t="shared" si="4"/>
        <v>1</v>
      </c>
      <c r="AB97" s="1126"/>
      <c r="AC97" s="997">
        <f t="shared" si="3"/>
        <v>0</v>
      </c>
    </row>
    <row r="98" spans="1:29">
      <c r="A98" s="1125" t="s">
        <v>2082</v>
      </c>
      <c r="B98" s="1133" t="s">
        <v>1280</v>
      </c>
      <c r="C98" s="1327"/>
      <c r="D98" s="737" t="s">
        <v>18</v>
      </c>
      <c r="E98" s="1123"/>
      <c r="F98" s="1123"/>
      <c r="G98" s="1123"/>
      <c r="H98" s="1123"/>
      <c r="I98" s="1123"/>
      <c r="J98" s="1123"/>
      <c r="K98" s="1123"/>
      <c r="L98" s="1123"/>
      <c r="M98" s="1123"/>
      <c r="N98" s="1123"/>
      <c r="O98" s="1123"/>
      <c r="P98" s="1123"/>
      <c r="Q98" s="1123"/>
      <c r="R98" s="1123"/>
      <c r="S98" s="1123"/>
      <c r="T98" s="1123"/>
      <c r="U98" s="1123"/>
      <c r="V98" s="1123"/>
      <c r="W98" s="1123"/>
      <c r="X98" s="1123">
        <v>1</v>
      </c>
      <c r="Y98" s="1123"/>
      <c r="Z98" s="1123"/>
      <c r="AA98" s="997">
        <f t="shared" si="4"/>
        <v>1</v>
      </c>
      <c r="AB98" s="1126"/>
      <c r="AC98" s="997">
        <f t="shared" si="3"/>
        <v>0</v>
      </c>
    </row>
    <row r="99" spans="1:29">
      <c r="A99" s="1125" t="s">
        <v>2083</v>
      </c>
      <c r="B99" s="1133" t="s">
        <v>1281</v>
      </c>
      <c r="C99" s="1327"/>
      <c r="D99" s="737" t="s">
        <v>18</v>
      </c>
      <c r="E99" s="1123"/>
      <c r="F99" s="1123"/>
      <c r="G99" s="1123"/>
      <c r="H99" s="1123"/>
      <c r="I99" s="1123"/>
      <c r="J99" s="1123"/>
      <c r="K99" s="1123"/>
      <c r="L99" s="1123"/>
      <c r="M99" s="1123"/>
      <c r="N99" s="1123"/>
      <c r="O99" s="1123"/>
      <c r="P99" s="1123"/>
      <c r="Q99" s="1123"/>
      <c r="R99" s="1123"/>
      <c r="S99" s="1123"/>
      <c r="T99" s="1123"/>
      <c r="U99" s="1123"/>
      <c r="V99" s="1123"/>
      <c r="W99" s="1123"/>
      <c r="X99" s="1123">
        <v>1</v>
      </c>
      <c r="Y99" s="1123"/>
      <c r="Z99" s="1123"/>
      <c r="AA99" s="997">
        <f t="shared" si="4"/>
        <v>1</v>
      </c>
      <c r="AB99" s="1126"/>
      <c r="AC99" s="997">
        <f t="shared" si="3"/>
        <v>0</v>
      </c>
    </row>
    <row r="100" spans="1:29">
      <c r="A100" s="1125" t="s">
        <v>2084</v>
      </c>
      <c r="B100" s="1133" t="s">
        <v>1282</v>
      </c>
      <c r="C100" s="1327"/>
      <c r="D100" s="737" t="s">
        <v>18</v>
      </c>
      <c r="E100" s="1123"/>
      <c r="F100" s="1123"/>
      <c r="G100" s="1123"/>
      <c r="H100" s="1123"/>
      <c r="I100" s="1123"/>
      <c r="J100" s="1123"/>
      <c r="K100" s="1123"/>
      <c r="L100" s="1123"/>
      <c r="M100" s="1123"/>
      <c r="N100" s="1123"/>
      <c r="O100" s="1123"/>
      <c r="P100" s="1123"/>
      <c r="Q100" s="1123"/>
      <c r="R100" s="1123"/>
      <c r="S100" s="1123"/>
      <c r="T100" s="1123"/>
      <c r="U100" s="1123"/>
      <c r="V100" s="1123"/>
      <c r="W100" s="1123"/>
      <c r="X100" s="1123"/>
      <c r="Y100" s="1123">
        <v>1</v>
      </c>
      <c r="Z100" s="1123"/>
      <c r="AA100" s="997">
        <f t="shared" si="4"/>
        <v>1</v>
      </c>
      <c r="AB100" s="1126"/>
      <c r="AC100" s="997">
        <f t="shared" si="3"/>
        <v>0</v>
      </c>
    </row>
    <row r="101" spans="1:29">
      <c r="A101" s="1125" t="s">
        <v>2085</v>
      </c>
      <c r="B101" s="1133" t="s">
        <v>1283</v>
      </c>
      <c r="C101" s="1327"/>
      <c r="D101" s="737" t="s">
        <v>18</v>
      </c>
      <c r="E101" s="1123"/>
      <c r="F101" s="1123"/>
      <c r="G101" s="1123"/>
      <c r="H101" s="1123"/>
      <c r="I101" s="1123"/>
      <c r="J101" s="1123"/>
      <c r="K101" s="1123"/>
      <c r="L101" s="1123"/>
      <c r="M101" s="1123"/>
      <c r="N101" s="1123"/>
      <c r="O101" s="1123"/>
      <c r="P101" s="1123"/>
      <c r="Q101" s="1123"/>
      <c r="R101" s="1123"/>
      <c r="S101" s="1123"/>
      <c r="T101" s="1123"/>
      <c r="U101" s="1123"/>
      <c r="V101" s="1123"/>
      <c r="W101" s="1123"/>
      <c r="X101" s="1123"/>
      <c r="Y101" s="1123">
        <v>1</v>
      </c>
      <c r="Z101" s="1123"/>
      <c r="AA101" s="997">
        <f t="shared" si="4"/>
        <v>1</v>
      </c>
      <c r="AB101" s="1126"/>
      <c r="AC101" s="997">
        <f t="shared" si="3"/>
        <v>0</v>
      </c>
    </row>
    <row r="102" spans="1:29">
      <c r="A102" s="1125" t="s">
        <v>2086</v>
      </c>
      <c r="B102" s="1133" t="s">
        <v>1284</v>
      </c>
      <c r="C102" s="1327"/>
      <c r="D102" s="737" t="s">
        <v>18</v>
      </c>
      <c r="E102" s="1123"/>
      <c r="F102" s="1123"/>
      <c r="G102" s="1123"/>
      <c r="H102" s="1123"/>
      <c r="I102" s="1123"/>
      <c r="J102" s="1123"/>
      <c r="K102" s="1123"/>
      <c r="L102" s="1123"/>
      <c r="M102" s="1123"/>
      <c r="N102" s="1123"/>
      <c r="O102" s="1123"/>
      <c r="P102" s="1123"/>
      <c r="Q102" s="1123"/>
      <c r="R102" s="1123"/>
      <c r="S102" s="1123"/>
      <c r="T102" s="1123"/>
      <c r="U102" s="1123"/>
      <c r="V102" s="1123"/>
      <c r="W102" s="1123"/>
      <c r="X102" s="1123"/>
      <c r="Y102" s="1123">
        <v>1</v>
      </c>
      <c r="Z102" s="1123"/>
      <c r="AA102" s="997">
        <f t="shared" si="4"/>
        <v>1</v>
      </c>
      <c r="AB102" s="1126"/>
      <c r="AC102" s="997">
        <f t="shared" si="3"/>
        <v>0</v>
      </c>
    </row>
    <row r="103" spans="1:29">
      <c r="A103" s="1125" t="s">
        <v>2087</v>
      </c>
      <c r="B103" s="1133" t="s">
        <v>1285</v>
      </c>
      <c r="C103" s="1327"/>
      <c r="D103" s="737" t="s">
        <v>18</v>
      </c>
      <c r="E103" s="1123"/>
      <c r="F103" s="1123"/>
      <c r="G103" s="1123"/>
      <c r="H103" s="1123"/>
      <c r="I103" s="1123"/>
      <c r="J103" s="1123"/>
      <c r="K103" s="1123"/>
      <c r="L103" s="1123"/>
      <c r="M103" s="1123"/>
      <c r="N103" s="1123"/>
      <c r="O103" s="1123"/>
      <c r="P103" s="1123"/>
      <c r="Q103" s="1123"/>
      <c r="R103" s="1123"/>
      <c r="S103" s="1123"/>
      <c r="T103" s="1123"/>
      <c r="U103" s="1123"/>
      <c r="V103" s="1123"/>
      <c r="W103" s="1123"/>
      <c r="X103" s="1123"/>
      <c r="Y103" s="1123">
        <v>1</v>
      </c>
      <c r="Z103" s="1123"/>
      <c r="AA103" s="997">
        <f t="shared" si="4"/>
        <v>1</v>
      </c>
      <c r="AB103" s="1126"/>
      <c r="AC103" s="997">
        <f t="shared" si="3"/>
        <v>0</v>
      </c>
    </row>
    <row r="104" spans="1:29">
      <c r="A104" s="1125" t="s">
        <v>2088</v>
      </c>
      <c r="B104" s="1133" t="s">
        <v>1286</v>
      </c>
      <c r="C104" s="1327"/>
      <c r="D104" s="737" t="s">
        <v>18</v>
      </c>
      <c r="E104" s="1123"/>
      <c r="F104" s="1123"/>
      <c r="G104" s="1123"/>
      <c r="H104" s="1123"/>
      <c r="I104" s="1123"/>
      <c r="J104" s="1123"/>
      <c r="K104" s="1123"/>
      <c r="L104" s="1123"/>
      <c r="M104" s="1123"/>
      <c r="N104" s="1123"/>
      <c r="O104" s="1123"/>
      <c r="P104" s="1123"/>
      <c r="Q104" s="1123"/>
      <c r="R104" s="1123"/>
      <c r="S104" s="1123"/>
      <c r="T104" s="1123"/>
      <c r="U104" s="1123"/>
      <c r="V104" s="1123"/>
      <c r="W104" s="1123"/>
      <c r="X104" s="1123"/>
      <c r="Y104" s="1123">
        <v>1</v>
      </c>
      <c r="Z104" s="1123"/>
      <c r="AA104" s="997">
        <f t="shared" si="4"/>
        <v>1</v>
      </c>
      <c r="AB104" s="1126"/>
      <c r="AC104" s="997">
        <f t="shared" si="3"/>
        <v>0</v>
      </c>
    </row>
    <row r="105" spans="1:29">
      <c r="A105" s="1125" t="s">
        <v>2089</v>
      </c>
      <c r="B105" s="1133" t="s">
        <v>1288</v>
      </c>
      <c r="C105" s="1327"/>
      <c r="D105" s="737" t="s">
        <v>18</v>
      </c>
      <c r="E105" s="1123"/>
      <c r="F105" s="1123"/>
      <c r="G105" s="1123"/>
      <c r="H105" s="1123"/>
      <c r="I105" s="1123"/>
      <c r="J105" s="1123"/>
      <c r="K105" s="1123"/>
      <c r="L105" s="1123"/>
      <c r="M105" s="1123"/>
      <c r="N105" s="1123"/>
      <c r="O105" s="1123"/>
      <c r="P105" s="1123"/>
      <c r="Q105" s="1123"/>
      <c r="R105" s="1123"/>
      <c r="S105" s="1123"/>
      <c r="T105" s="1123"/>
      <c r="U105" s="1123"/>
      <c r="V105" s="1123"/>
      <c r="W105" s="1123"/>
      <c r="X105" s="1123"/>
      <c r="Y105" s="1123"/>
      <c r="Z105" s="1123">
        <v>1</v>
      </c>
      <c r="AA105" s="997">
        <f t="shared" si="4"/>
        <v>1</v>
      </c>
      <c r="AB105" s="1126"/>
      <c r="AC105" s="997">
        <f t="shared" si="3"/>
        <v>0</v>
      </c>
    </row>
    <row r="106" spans="1:29" ht="57">
      <c r="A106" s="1122" t="s">
        <v>2090</v>
      </c>
      <c r="B106" s="1135" t="s">
        <v>1303</v>
      </c>
      <c r="C106" s="1421"/>
      <c r="D106" s="790"/>
      <c r="E106" s="1123"/>
      <c r="F106" s="1123"/>
      <c r="G106" s="1123"/>
      <c r="H106" s="1123"/>
      <c r="I106" s="1123"/>
      <c r="J106" s="1123"/>
      <c r="K106" s="1123"/>
      <c r="L106" s="1123"/>
      <c r="M106" s="1123"/>
      <c r="N106" s="1123"/>
      <c r="O106" s="1123"/>
      <c r="P106" s="1123"/>
      <c r="Q106" s="1123"/>
      <c r="R106" s="1123"/>
      <c r="S106" s="1123"/>
      <c r="T106" s="1123"/>
      <c r="U106" s="1123"/>
      <c r="V106" s="1123"/>
      <c r="W106" s="1123"/>
      <c r="X106" s="1123"/>
      <c r="Y106" s="1123"/>
      <c r="Z106" s="1123"/>
      <c r="AA106" s="997"/>
      <c r="AB106" s="1124"/>
      <c r="AC106" s="997"/>
    </row>
    <row r="107" spans="1:29">
      <c r="A107" s="1125" t="s">
        <v>2093</v>
      </c>
      <c r="B107" s="1136" t="s">
        <v>1250</v>
      </c>
      <c r="C107" s="1327"/>
      <c r="D107" s="737"/>
      <c r="E107" s="1123"/>
      <c r="F107" s="1123"/>
      <c r="G107" s="1123"/>
      <c r="H107" s="1123"/>
      <c r="I107" s="1123"/>
      <c r="J107" s="1123"/>
      <c r="K107" s="1123"/>
      <c r="L107" s="1123"/>
      <c r="M107" s="1123"/>
      <c r="N107" s="1123"/>
      <c r="O107" s="1123"/>
      <c r="P107" s="1123"/>
      <c r="Q107" s="1123"/>
      <c r="R107" s="1123"/>
      <c r="S107" s="1123"/>
      <c r="T107" s="1123"/>
      <c r="U107" s="1123"/>
      <c r="V107" s="1123"/>
      <c r="W107" s="1123"/>
      <c r="X107" s="1123"/>
      <c r="Y107" s="1123"/>
      <c r="Z107" s="1123"/>
      <c r="AA107" s="997"/>
      <c r="AB107" s="1124"/>
      <c r="AC107" s="997"/>
    </row>
    <row r="108" spans="1:29">
      <c r="A108" s="1125" t="s">
        <v>2091</v>
      </c>
      <c r="B108" s="1127" t="s">
        <v>2806</v>
      </c>
      <c r="C108" s="1327"/>
      <c r="D108" s="737" t="s">
        <v>18</v>
      </c>
      <c r="E108" s="1123">
        <v>9</v>
      </c>
      <c r="F108" s="1123">
        <v>4</v>
      </c>
      <c r="G108" s="1123">
        <v>10</v>
      </c>
      <c r="H108" s="1123">
        <v>2</v>
      </c>
      <c r="I108" s="1123">
        <v>6</v>
      </c>
      <c r="J108" s="1123">
        <v>4</v>
      </c>
      <c r="K108" s="1123">
        <v>3</v>
      </c>
      <c r="L108" s="1123"/>
      <c r="M108" s="1123">
        <v>1</v>
      </c>
      <c r="N108" s="1123">
        <v>1</v>
      </c>
      <c r="O108" s="1123">
        <v>7</v>
      </c>
      <c r="P108" s="1123">
        <v>4</v>
      </c>
      <c r="Q108" s="1123">
        <v>1</v>
      </c>
      <c r="R108" s="1123"/>
      <c r="S108" s="1123">
        <v>14</v>
      </c>
      <c r="T108" s="1123">
        <v>2</v>
      </c>
      <c r="U108" s="1123">
        <v>2</v>
      </c>
      <c r="V108" s="1123">
        <v>15</v>
      </c>
      <c r="W108" s="1123">
        <v>5</v>
      </c>
      <c r="X108" s="1123">
        <v>12</v>
      </c>
      <c r="Y108" s="1123">
        <v>13</v>
      </c>
      <c r="Z108" s="1123">
        <v>2</v>
      </c>
      <c r="AA108" s="997">
        <f t="shared" ref="AA108:AA148" si="5">SUM(E108:Z108)</f>
        <v>117</v>
      </c>
      <c r="AB108" s="1126"/>
      <c r="AC108" s="997">
        <f t="shared" si="3"/>
        <v>0</v>
      </c>
    </row>
    <row r="109" spans="1:29">
      <c r="A109" s="1125" t="s">
        <v>2092</v>
      </c>
      <c r="B109" s="1137" t="s">
        <v>1251</v>
      </c>
      <c r="C109" s="1327"/>
      <c r="D109" s="737"/>
      <c r="E109" s="1123"/>
      <c r="F109" s="1123"/>
      <c r="G109" s="1123"/>
      <c r="H109" s="1123"/>
      <c r="I109" s="1123"/>
      <c r="J109" s="1123"/>
      <c r="K109" s="1123"/>
      <c r="L109" s="1123"/>
      <c r="M109" s="1123"/>
      <c r="N109" s="1123"/>
      <c r="O109" s="1123"/>
      <c r="P109" s="1123"/>
      <c r="Q109" s="1123"/>
      <c r="R109" s="1123"/>
      <c r="S109" s="1123"/>
      <c r="T109" s="1123"/>
      <c r="U109" s="1123"/>
      <c r="V109" s="1123"/>
      <c r="W109" s="1123"/>
      <c r="X109" s="1123"/>
      <c r="Y109" s="1123"/>
      <c r="Z109" s="1123"/>
      <c r="AA109" s="997"/>
      <c r="AB109" s="1124"/>
      <c r="AC109" s="997"/>
    </row>
    <row r="110" spans="1:29">
      <c r="A110" s="1125" t="s">
        <v>2094</v>
      </c>
      <c r="B110" s="1138" t="s">
        <v>2807</v>
      </c>
      <c r="C110" s="1327"/>
      <c r="D110" s="737" t="s">
        <v>18</v>
      </c>
      <c r="E110" s="1123">
        <v>9</v>
      </c>
      <c r="F110" s="1123"/>
      <c r="G110" s="1123">
        <v>10</v>
      </c>
      <c r="H110" s="1123"/>
      <c r="I110" s="1123">
        <v>4</v>
      </c>
      <c r="J110" s="1123"/>
      <c r="K110" s="1123"/>
      <c r="L110" s="1123"/>
      <c r="M110" s="1123"/>
      <c r="N110" s="1123"/>
      <c r="O110" s="1123">
        <v>4</v>
      </c>
      <c r="P110" s="1123"/>
      <c r="Q110" s="1123"/>
      <c r="R110" s="1123"/>
      <c r="S110" s="1123"/>
      <c r="T110" s="1123"/>
      <c r="U110" s="1123"/>
      <c r="V110" s="1123"/>
      <c r="W110" s="1123"/>
      <c r="X110" s="1123"/>
      <c r="Y110" s="1123"/>
      <c r="Z110" s="1123"/>
      <c r="AA110" s="997">
        <f t="shared" si="5"/>
        <v>27</v>
      </c>
      <c r="AB110" s="1126"/>
      <c r="AC110" s="997">
        <f t="shared" si="3"/>
        <v>0</v>
      </c>
    </row>
    <row r="111" spans="1:29">
      <c r="A111" s="1125" t="s">
        <v>2095</v>
      </c>
      <c r="B111" s="1138" t="s">
        <v>2808</v>
      </c>
      <c r="C111" s="1327"/>
      <c r="D111" s="737" t="s">
        <v>18</v>
      </c>
      <c r="E111" s="1123"/>
      <c r="F111" s="1123">
        <v>4</v>
      </c>
      <c r="G111" s="1123"/>
      <c r="H111" s="1123">
        <v>2</v>
      </c>
      <c r="I111" s="1123"/>
      <c r="J111" s="1123"/>
      <c r="K111" s="1123"/>
      <c r="L111" s="1123"/>
      <c r="M111" s="1123"/>
      <c r="N111" s="1123"/>
      <c r="O111" s="1123"/>
      <c r="P111" s="1123"/>
      <c r="Q111" s="1123"/>
      <c r="R111" s="1123"/>
      <c r="S111" s="1123"/>
      <c r="T111" s="1123"/>
      <c r="U111" s="1123"/>
      <c r="V111" s="1123"/>
      <c r="W111" s="1123"/>
      <c r="X111" s="1123"/>
      <c r="Y111" s="1123"/>
      <c r="Z111" s="1123"/>
      <c r="AA111" s="997">
        <f t="shared" si="5"/>
        <v>6</v>
      </c>
      <c r="AB111" s="1126"/>
      <c r="AC111" s="997">
        <f t="shared" si="3"/>
        <v>0</v>
      </c>
    </row>
    <row r="112" spans="1:29">
      <c r="A112" s="1125" t="s">
        <v>2096</v>
      </c>
      <c r="B112" s="1138" t="s">
        <v>2809</v>
      </c>
      <c r="C112" s="1327"/>
      <c r="D112" s="737" t="s">
        <v>18</v>
      </c>
      <c r="E112" s="1123"/>
      <c r="F112" s="1123"/>
      <c r="G112" s="1123"/>
      <c r="H112" s="1123"/>
      <c r="I112" s="1123">
        <v>2</v>
      </c>
      <c r="J112" s="1123"/>
      <c r="K112" s="1123"/>
      <c r="L112" s="1123"/>
      <c r="M112" s="1123"/>
      <c r="N112" s="1123"/>
      <c r="O112" s="1123"/>
      <c r="P112" s="1123"/>
      <c r="Q112" s="1123"/>
      <c r="R112" s="1123"/>
      <c r="S112" s="1123"/>
      <c r="T112" s="1123"/>
      <c r="U112" s="1123"/>
      <c r="V112" s="1123"/>
      <c r="W112" s="1123"/>
      <c r="X112" s="1123"/>
      <c r="Y112" s="1123"/>
      <c r="Z112" s="1123"/>
      <c r="AA112" s="997">
        <f t="shared" si="5"/>
        <v>2</v>
      </c>
      <c r="AB112" s="1126"/>
      <c r="AC112" s="997">
        <f t="shared" si="3"/>
        <v>0</v>
      </c>
    </row>
    <row r="113" spans="1:29">
      <c r="A113" s="1125" t="s">
        <v>2097</v>
      </c>
      <c r="B113" s="1138" t="s">
        <v>2810</v>
      </c>
      <c r="C113" s="1327"/>
      <c r="D113" s="737" t="s">
        <v>18</v>
      </c>
      <c r="E113" s="1123"/>
      <c r="F113" s="1123"/>
      <c r="G113" s="1123"/>
      <c r="H113" s="1123"/>
      <c r="I113" s="1123"/>
      <c r="J113" s="1123">
        <v>4</v>
      </c>
      <c r="K113" s="1123">
        <v>3</v>
      </c>
      <c r="L113" s="1123"/>
      <c r="M113" s="1123">
        <v>1</v>
      </c>
      <c r="N113" s="1123">
        <v>1</v>
      </c>
      <c r="O113" s="1123">
        <v>3</v>
      </c>
      <c r="P113" s="1123">
        <v>4</v>
      </c>
      <c r="Q113" s="1123">
        <v>1</v>
      </c>
      <c r="R113" s="1123"/>
      <c r="S113" s="1123">
        <v>9</v>
      </c>
      <c r="T113" s="1123">
        <v>2</v>
      </c>
      <c r="U113" s="1123">
        <v>2</v>
      </c>
      <c r="V113" s="1123"/>
      <c r="W113" s="1123"/>
      <c r="X113" s="1123">
        <v>3</v>
      </c>
      <c r="Y113" s="1123"/>
      <c r="Z113" s="1123">
        <v>2</v>
      </c>
      <c r="AA113" s="997">
        <f t="shared" si="5"/>
        <v>35</v>
      </c>
      <c r="AB113" s="1126"/>
      <c r="AC113" s="997">
        <f t="shared" si="3"/>
        <v>0</v>
      </c>
    </row>
    <row r="114" spans="1:29">
      <c r="A114" s="1125" t="s">
        <v>2098</v>
      </c>
      <c r="B114" s="1138" t="s">
        <v>2811</v>
      </c>
      <c r="C114" s="1327"/>
      <c r="D114" s="737" t="s">
        <v>18</v>
      </c>
      <c r="E114" s="1123"/>
      <c r="F114" s="1123"/>
      <c r="G114" s="1123"/>
      <c r="H114" s="1123"/>
      <c r="I114" s="1123"/>
      <c r="J114" s="1123"/>
      <c r="K114" s="1123"/>
      <c r="L114" s="1123"/>
      <c r="M114" s="1123"/>
      <c r="N114" s="1123"/>
      <c r="O114" s="1123"/>
      <c r="P114" s="1123"/>
      <c r="Q114" s="1123"/>
      <c r="R114" s="1123"/>
      <c r="S114" s="1123">
        <v>5</v>
      </c>
      <c r="T114" s="1123"/>
      <c r="U114" s="1123"/>
      <c r="V114" s="1123">
        <v>15</v>
      </c>
      <c r="W114" s="1123">
        <v>5</v>
      </c>
      <c r="X114" s="1123">
        <v>9</v>
      </c>
      <c r="Y114" s="1123">
        <v>13</v>
      </c>
      <c r="Z114" s="1123"/>
      <c r="AA114" s="997">
        <f t="shared" si="5"/>
        <v>47</v>
      </c>
      <c r="AB114" s="1126"/>
      <c r="AC114" s="997">
        <f t="shared" si="3"/>
        <v>0</v>
      </c>
    </row>
    <row r="115" spans="1:29">
      <c r="A115" s="1125" t="s">
        <v>2099</v>
      </c>
      <c r="B115" s="1137" t="s">
        <v>1252</v>
      </c>
      <c r="C115" s="1327"/>
      <c r="D115" s="737"/>
      <c r="E115" s="1123"/>
      <c r="F115" s="1123"/>
      <c r="G115" s="1123"/>
      <c r="H115" s="1123"/>
      <c r="I115" s="1123"/>
      <c r="J115" s="1123"/>
      <c r="K115" s="1123"/>
      <c r="L115" s="1123"/>
      <c r="M115" s="1123"/>
      <c r="N115" s="1123"/>
      <c r="O115" s="1123"/>
      <c r="P115" s="1123"/>
      <c r="Q115" s="1123"/>
      <c r="R115" s="1123"/>
      <c r="S115" s="1123"/>
      <c r="T115" s="1123"/>
      <c r="U115" s="1123"/>
      <c r="V115" s="1123"/>
      <c r="W115" s="1123"/>
      <c r="X115" s="1123"/>
      <c r="Y115" s="1123"/>
      <c r="Z115" s="1123"/>
      <c r="AA115" s="997"/>
      <c r="AB115" s="1124"/>
      <c r="AC115" s="997"/>
    </row>
    <row r="116" spans="1:29">
      <c r="A116" s="1125" t="s">
        <v>2100</v>
      </c>
      <c r="B116" s="1127" t="s">
        <v>1253</v>
      </c>
      <c r="C116" s="1327"/>
      <c r="D116" s="737" t="s">
        <v>18</v>
      </c>
      <c r="E116" s="1123">
        <v>9</v>
      </c>
      <c r="F116" s="1123">
        <v>1</v>
      </c>
      <c r="G116" s="1123">
        <v>10</v>
      </c>
      <c r="H116" s="1123">
        <v>2</v>
      </c>
      <c r="I116" s="1123">
        <v>6</v>
      </c>
      <c r="J116" s="1123">
        <v>4</v>
      </c>
      <c r="K116" s="1123">
        <v>3</v>
      </c>
      <c r="L116" s="1123"/>
      <c r="M116" s="1123">
        <v>1</v>
      </c>
      <c r="N116" s="1123">
        <v>1</v>
      </c>
      <c r="O116" s="1123">
        <v>7</v>
      </c>
      <c r="P116" s="1123">
        <v>4</v>
      </c>
      <c r="Q116" s="1123">
        <v>1</v>
      </c>
      <c r="R116" s="1123"/>
      <c r="S116" s="1123">
        <v>14</v>
      </c>
      <c r="T116" s="1123">
        <v>2</v>
      </c>
      <c r="U116" s="1123">
        <v>2</v>
      </c>
      <c r="V116" s="1123">
        <v>15</v>
      </c>
      <c r="W116" s="1123">
        <v>5</v>
      </c>
      <c r="X116" s="1123">
        <v>12</v>
      </c>
      <c r="Y116" s="1123">
        <v>13</v>
      </c>
      <c r="Z116" s="1123">
        <v>3</v>
      </c>
      <c r="AA116" s="997">
        <f t="shared" si="5"/>
        <v>115</v>
      </c>
      <c r="AB116" s="1126"/>
      <c r="AC116" s="997">
        <f t="shared" si="3"/>
        <v>0</v>
      </c>
    </row>
    <row r="117" spans="1:29">
      <c r="A117" s="1125" t="s">
        <v>2101</v>
      </c>
      <c r="B117" s="1137" t="s">
        <v>2316</v>
      </c>
      <c r="C117" s="1327"/>
      <c r="D117" s="737"/>
      <c r="E117" s="1123"/>
      <c r="F117" s="1123"/>
      <c r="G117" s="1123"/>
      <c r="H117" s="1123"/>
      <c r="I117" s="1123"/>
      <c r="J117" s="1123"/>
      <c r="K117" s="1123"/>
      <c r="L117" s="1123"/>
      <c r="M117" s="1123"/>
      <c r="N117" s="1123"/>
      <c r="O117" s="1123"/>
      <c r="P117" s="1123"/>
      <c r="Q117" s="1123"/>
      <c r="R117" s="1123"/>
      <c r="S117" s="1123"/>
      <c r="T117" s="1123"/>
      <c r="U117" s="1123"/>
      <c r="V117" s="1123"/>
      <c r="W117" s="1123"/>
      <c r="X117" s="1123"/>
      <c r="Y117" s="1123"/>
      <c r="Z117" s="1123"/>
      <c r="AA117" s="997"/>
      <c r="AB117" s="1124"/>
      <c r="AC117" s="997"/>
    </row>
    <row r="118" spans="1:29">
      <c r="A118" s="1125" t="s">
        <v>2102</v>
      </c>
      <c r="B118" s="1127" t="s">
        <v>1254</v>
      </c>
      <c r="C118" s="1327"/>
      <c r="D118" s="737" t="s">
        <v>18</v>
      </c>
      <c r="E118" s="1123">
        <v>18</v>
      </c>
      <c r="F118" s="1123">
        <v>8</v>
      </c>
      <c r="G118" s="1123">
        <v>20</v>
      </c>
      <c r="H118" s="1123">
        <v>4</v>
      </c>
      <c r="I118" s="1123">
        <v>12</v>
      </c>
      <c r="J118" s="1123">
        <v>8</v>
      </c>
      <c r="K118" s="1123">
        <v>6</v>
      </c>
      <c r="L118" s="1123"/>
      <c r="M118" s="1123">
        <v>2</v>
      </c>
      <c r="N118" s="1123">
        <v>2</v>
      </c>
      <c r="O118" s="1123">
        <v>14</v>
      </c>
      <c r="P118" s="1123">
        <v>8</v>
      </c>
      <c r="Q118" s="1123">
        <v>2</v>
      </c>
      <c r="R118" s="1123"/>
      <c r="S118" s="1123">
        <v>28</v>
      </c>
      <c r="T118" s="1123">
        <v>4</v>
      </c>
      <c r="U118" s="1123">
        <v>4</v>
      </c>
      <c r="V118" s="1123">
        <v>30</v>
      </c>
      <c r="W118" s="1123">
        <v>10</v>
      </c>
      <c r="X118" s="1123">
        <v>24</v>
      </c>
      <c r="Y118" s="1123">
        <v>26</v>
      </c>
      <c r="Z118" s="1123">
        <v>4</v>
      </c>
      <c r="AA118" s="997">
        <f t="shared" si="5"/>
        <v>234</v>
      </c>
      <c r="AB118" s="1126"/>
      <c r="AC118" s="997">
        <f t="shared" si="3"/>
        <v>0</v>
      </c>
    </row>
    <row r="119" spans="1:29">
      <c r="A119" s="1125" t="s">
        <v>2103</v>
      </c>
      <c r="B119" s="1139" t="s">
        <v>1255</v>
      </c>
      <c r="C119" s="1327"/>
      <c r="D119" s="737"/>
      <c r="E119" s="1123"/>
      <c r="F119" s="1123"/>
      <c r="G119" s="1123"/>
      <c r="H119" s="1123"/>
      <c r="I119" s="1123"/>
      <c r="J119" s="1123"/>
      <c r="K119" s="1123"/>
      <c r="L119" s="1123"/>
      <c r="M119" s="1123"/>
      <c r="N119" s="1123"/>
      <c r="O119" s="1123"/>
      <c r="P119" s="1123"/>
      <c r="Q119" s="1123"/>
      <c r="R119" s="1123"/>
      <c r="S119" s="1123"/>
      <c r="T119" s="1123"/>
      <c r="U119" s="1123"/>
      <c r="V119" s="1123"/>
      <c r="W119" s="1123"/>
      <c r="X119" s="1123"/>
      <c r="Y119" s="1123"/>
      <c r="Z119" s="1123"/>
      <c r="AA119" s="997"/>
      <c r="AB119" s="1124"/>
      <c r="AC119" s="997"/>
    </row>
    <row r="120" spans="1:29">
      <c r="A120" s="1125" t="s">
        <v>2104</v>
      </c>
      <c r="B120" s="1127" t="s">
        <v>2812</v>
      </c>
      <c r="C120" s="1327"/>
      <c r="D120" s="737" t="s">
        <v>18</v>
      </c>
      <c r="E120" s="1123">
        <v>2</v>
      </c>
      <c r="F120" s="1123"/>
      <c r="G120" s="1123"/>
      <c r="H120" s="1123">
        <v>1</v>
      </c>
      <c r="I120" s="1123"/>
      <c r="J120" s="1123"/>
      <c r="K120" s="1123"/>
      <c r="L120" s="1123"/>
      <c r="M120" s="1123"/>
      <c r="N120" s="1123"/>
      <c r="O120" s="1123">
        <v>1</v>
      </c>
      <c r="P120" s="1123"/>
      <c r="Q120" s="1123"/>
      <c r="R120" s="1123"/>
      <c r="S120" s="1123">
        <v>2</v>
      </c>
      <c r="T120" s="1123"/>
      <c r="U120" s="1123"/>
      <c r="V120" s="1123">
        <v>2</v>
      </c>
      <c r="W120" s="1123"/>
      <c r="X120" s="1123">
        <v>1</v>
      </c>
      <c r="Y120" s="1123"/>
      <c r="Z120" s="1123">
        <v>1</v>
      </c>
      <c r="AA120" s="997">
        <f t="shared" si="5"/>
        <v>10</v>
      </c>
      <c r="AB120" s="1126"/>
      <c r="AC120" s="997">
        <f t="shared" si="3"/>
        <v>0</v>
      </c>
    </row>
    <row r="121" spans="1:29">
      <c r="A121" s="1125" t="s">
        <v>2105</v>
      </c>
      <c r="B121" s="1127" t="s">
        <v>2813</v>
      </c>
      <c r="C121" s="1327"/>
      <c r="D121" s="737" t="s">
        <v>18</v>
      </c>
      <c r="E121" s="1123"/>
      <c r="F121" s="1123">
        <v>1</v>
      </c>
      <c r="G121" s="1123">
        <v>3</v>
      </c>
      <c r="H121" s="1123"/>
      <c r="I121" s="1123">
        <v>1</v>
      </c>
      <c r="J121" s="1123"/>
      <c r="K121" s="1123"/>
      <c r="L121" s="1123"/>
      <c r="M121" s="1123"/>
      <c r="N121" s="1123"/>
      <c r="O121" s="1123"/>
      <c r="P121" s="1123"/>
      <c r="Q121" s="1123"/>
      <c r="R121" s="1123"/>
      <c r="S121" s="1123">
        <v>1</v>
      </c>
      <c r="T121" s="1123"/>
      <c r="U121" s="1123">
        <v>1</v>
      </c>
      <c r="V121" s="1123">
        <v>2</v>
      </c>
      <c r="W121" s="1123"/>
      <c r="X121" s="1123">
        <v>2</v>
      </c>
      <c r="Y121" s="1123">
        <v>1</v>
      </c>
      <c r="Z121" s="1123"/>
      <c r="AA121" s="997">
        <f t="shared" si="5"/>
        <v>12</v>
      </c>
      <c r="AB121" s="1126"/>
      <c r="AC121" s="997">
        <f t="shared" si="3"/>
        <v>0</v>
      </c>
    </row>
    <row r="122" spans="1:29">
      <c r="A122" s="1125" t="s">
        <v>2106</v>
      </c>
      <c r="B122" s="1127" t="s">
        <v>2814</v>
      </c>
      <c r="C122" s="1327"/>
      <c r="D122" s="737" t="s">
        <v>18</v>
      </c>
      <c r="E122" s="1123">
        <v>1</v>
      </c>
      <c r="F122" s="1123">
        <v>1</v>
      </c>
      <c r="G122" s="1123">
        <v>1</v>
      </c>
      <c r="H122" s="1123">
        <v>1</v>
      </c>
      <c r="I122" s="1123">
        <v>1</v>
      </c>
      <c r="J122" s="1123"/>
      <c r="K122" s="1123"/>
      <c r="L122" s="1123"/>
      <c r="M122" s="1123"/>
      <c r="N122" s="1123"/>
      <c r="O122" s="1123"/>
      <c r="P122" s="1123"/>
      <c r="Q122" s="1123"/>
      <c r="R122" s="1123"/>
      <c r="S122" s="1123"/>
      <c r="T122" s="1123"/>
      <c r="U122" s="1123">
        <v>1</v>
      </c>
      <c r="V122" s="1123"/>
      <c r="W122" s="1123"/>
      <c r="X122" s="1123"/>
      <c r="Y122" s="1123"/>
      <c r="Z122" s="1123"/>
      <c r="AA122" s="997">
        <f t="shared" si="5"/>
        <v>6</v>
      </c>
      <c r="AB122" s="1126"/>
      <c r="AC122" s="997">
        <f t="shared" si="3"/>
        <v>0</v>
      </c>
    </row>
    <row r="123" spans="1:29">
      <c r="A123" s="1125" t="s">
        <v>2107</v>
      </c>
      <c r="B123" s="1127" t="s">
        <v>2815</v>
      </c>
      <c r="C123" s="1327"/>
      <c r="D123" s="737" t="s">
        <v>18</v>
      </c>
      <c r="E123" s="1123"/>
      <c r="F123" s="1123"/>
      <c r="G123" s="1123">
        <v>1</v>
      </c>
      <c r="H123" s="1123"/>
      <c r="I123" s="1123">
        <v>2</v>
      </c>
      <c r="J123" s="1123"/>
      <c r="K123" s="1123"/>
      <c r="L123" s="1123"/>
      <c r="M123" s="1123"/>
      <c r="N123" s="1123"/>
      <c r="O123" s="1123"/>
      <c r="P123" s="1123"/>
      <c r="Q123" s="1123"/>
      <c r="R123" s="1123"/>
      <c r="S123" s="1123"/>
      <c r="T123" s="1123"/>
      <c r="U123" s="1123"/>
      <c r="V123" s="1123"/>
      <c r="W123" s="1123"/>
      <c r="X123" s="1123"/>
      <c r="Y123" s="1123"/>
      <c r="Z123" s="1123"/>
      <c r="AA123" s="997">
        <f t="shared" si="5"/>
        <v>3</v>
      </c>
      <c r="AB123" s="1126"/>
      <c r="AC123" s="997">
        <f t="shared" si="3"/>
        <v>0</v>
      </c>
    </row>
    <row r="124" spans="1:29">
      <c r="A124" s="1125" t="s">
        <v>2108</v>
      </c>
      <c r="B124" s="1127" t="s">
        <v>2816</v>
      </c>
      <c r="C124" s="1327"/>
      <c r="D124" s="737" t="s">
        <v>18</v>
      </c>
      <c r="E124" s="1123"/>
      <c r="F124" s="1123"/>
      <c r="G124" s="1123"/>
      <c r="H124" s="1123"/>
      <c r="I124" s="1123">
        <v>2</v>
      </c>
      <c r="J124" s="1123"/>
      <c r="K124" s="1123"/>
      <c r="L124" s="1123"/>
      <c r="M124" s="1123"/>
      <c r="N124" s="1123"/>
      <c r="O124" s="1123"/>
      <c r="P124" s="1123"/>
      <c r="Q124" s="1123"/>
      <c r="R124" s="1123"/>
      <c r="S124" s="1123"/>
      <c r="T124" s="1123"/>
      <c r="U124" s="1123"/>
      <c r="V124" s="1123"/>
      <c r="W124" s="1123"/>
      <c r="X124" s="1123"/>
      <c r="Y124" s="1123"/>
      <c r="Z124" s="1123"/>
      <c r="AA124" s="997">
        <f t="shared" si="5"/>
        <v>2</v>
      </c>
      <c r="AB124" s="1126"/>
      <c r="AC124" s="997">
        <f t="shared" si="3"/>
        <v>0</v>
      </c>
    </row>
    <row r="125" spans="1:29">
      <c r="A125" s="1125" t="s">
        <v>2109</v>
      </c>
      <c r="B125" s="1127" t="s">
        <v>2817</v>
      </c>
      <c r="C125" s="1327"/>
      <c r="D125" s="737" t="s">
        <v>18</v>
      </c>
      <c r="E125" s="1123"/>
      <c r="F125" s="1123"/>
      <c r="G125" s="1123"/>
      <c r="H125" s="1123"/>
      <c r="I125" s="1123"/>
      <c r="J125" s="1123"/>
      <c r="K125" s="1123"/>
      <c r="L125" s="1123"/>
      <c r="M125" s="1123"/>
      <c r="N125" s="1123"/>
      <c r="O125" s="1123"/>
      <c r="P125" s="1123"/>
      <c r="Q125" s="1123"/>
      <c r="R125" s="1123"/>
      <c r="S125" s="1123"/>
      <c r="T125" s="1123"/>
      <c r="U125" s="1123"/>
      <c r="V125" s="1123">
        <v>1</v>
      </c>
      <c r="W125" s="1123"/>
      <c r="X125" s="1123"/>
      <c r="Y125" s="1123"/>
      <c r="Z125" s="1123"/>
      <c r="AA125" s="997">
        <f t="shared" si="5"/>
        <v>1</v>
      </c>
      <c r="AB125" s="1126"/>
      <c r="AC125" s="997">
        <f t="shared" si="3"/>
        <v>0</v>
      </c>
    </row>
    <row r="126" spans="1:29">
      <c r="A126" s="1125" t="s">
        <v>2110</v>
      </c>
      <c r="B126" s="1127" t="s">
        <v>2818</v>
      </c>
      <c r="C126" s="1327"/>
      <c r="D126" s="737" t="s">
        <v>18</v>
      </c>
      <c r="E126" s="1123"/>
      <c r="F126" s="1123"/>
      <c r="G126" s="1123"/>
      <c r="H126" s="1123"/>
      <c r="I126" s="1123"/>
      <c r="J126" s="1123"/>
      <c r="K126" s="1123"/>
      <c r="L126" s="1123"/>
      <c r="M126" s="1123"/>
      <c r="N126" s="1123"/>
      <c r="O126" s="1123"/>
      <c r="P126" s="1123"/>
      <c r="Q126" s="1123"/>
      <c r="R126" s="1123"/>
      <c r="S126" s="1123"/>
      <c r="T126" s="1123"/>
      <c r="U126" s="1123">
        <v>1</v>
      </c>
      <c r="V126" s="1123"/>
      <c r="W126" s="1123"/>
      <c r="X126" s="1123"/>
      <c r="Y126" s="1123"/>
      <c r="Z126" s="1123">
        <v>1</v>
      </c>
      <c r="AA126" s="997">
        <f t="shared" si="5"/>
        <v>2</v>
      </c>
      <c r="AB126" s="1126"/>
      <c r="AC126" s="997">
        <f t="shared" si="3"/>
        <v>0</v>
      </c>
    </row>
    <row r="127" spans="1:29">
      <c r="A127" s="1125" t="s">
        <v>2111</v>
      </c>
      <c r="B127" s="1136" t="s">
        <v>1256</v>
      </c>
      <c r="C127" s="1327"/>
      <c r="D127" s="737"/>
      <c r="E127" s="1123"/>
      <c r="F127" s="1123"/>
      <c r="G127" s="1123"/>
      <c r="H127" s="1123"/>
      <c r="I127" s="1123"/>
      <c r="J127" s="1123"/>
      <c r="K127" s="1123"/>
      <c r="L127" s="1123"/>
      <c r="M127" s="1123"/>
      <c r="N127" s="1123"/>
      <c r="O127" s="1123"/>
      <c r="P127" s="1123"/>
      <c r="Q127" s="1123"/>
      <c r="R127" s="1123"/>
      <c r="S127" s="1123"/>
      <c r="T127" s="1123"/>
      <c r="U127" s="1123"/>
      <c r="V127" s="1123"/>
      <c r="W127" s="1123"/>
      <c r="X127" s="1123"/>
      <c r="Y127" s="1123"/>
      <c r="Z127" s="1123"/>
      <c r="AA127" s="997"/>
      <c r="AB127" s="1124"/>
      <c r="AC127" s="997"/>
    </row>
    <row r="128" spans="1:29">
      <c r="A128" s="1125" t="s">
        <v>2112</v>
      </c>
      <c r="B128" s="1127" t="s">
        <v>1257</v>
      </c>
      <c r="C128" s="1327"/>
      <c r="D128" s="737" t="s">
        <v>18</v>
      </c>
      <c r="E128" s="1123">
        <v>9</v>
      </c>
      <c r="F128" s="1123">
        <v>4</v>
      </c>
      <c r="G128" s="1123">
        <v>10</v>
      </c>
      <c r="H128" s="1123">
        <v>2</v>
      </c>
      <c r="I128" s="1123">
        <v>6</v>
      </c>
      <c r="J128" s="1123">
        <v>4</v>
      </c>
      <c r="K128" s="1123">
        <v>3</v>
      </c>
      <c r="L128" s="1123"/>
      <c r="M128" s="1123">
        <v>1</v>
      </c>
      <c r="N128" s="1123">
        <v>1</v>
      </c>
      <c r="O128" s="1123">
        <v>7</v>
      </c>
      <c r="P128" s="1123">
        <v>4</v>
      </c>
      <c r="Q128" s="1123">
        <v>1</v>
      </c>
      <c r="R128" s="1123"/>
      <c r="S128" s="1123">
        <v>14</v>
      </c>
      <c r="T128" s="1123">
        <v>2</v>
      </c>
      <c r="U128" s="1123">
        <v>2</v>
      </c>
      <c r="V128" s="1123">
        <v>15</v>
      </c>
      <c r="W128" s="1123">
        <v>5</v>
      </c>
      <c r="X128" s="1123">
        <v>12</v>
      </c>
      <c r="Y128" s="1123">
        <v>13</v>
      </c>
      <c r="Z128" s="1123">
        <v>2</v>
      </c>
      <c r="AA128" s="997">
        <f t="shared" si="5"/>
        <v>117</v>
      </c>
      <c r="AB128" s="1126"/>
      <c r="AC128" s="997">
        <f t="shared" si="3"/>
        <v>0</v>
      </c>
    </row>
    <row r="129" spans="1:29">
      <c r="A129" s="1125" t="s">
        <v>2113</v>
      </c>
      <c r="B129" s="1136" t="s">
        <v>1258</v>
      </c>
      <c r="C129" s="1327"/>
      <c r="D129" s="737"/>
      <c r="E129" s="1123"/>
      <c r="F129" s="1123"/>
      <c r="G129" s="1123"/>
      <c r="H129" s="1123"/>
      <c r="I129" s="1123"/>
      <c r="J129" s="1123"/>
      <c r="K129" s="1123"/>
      <c r="L129" s="1123"/>
      <c r="M129" s="1123"/>
      <c r="N129" s="1123"/>
      <c r="O129" s="1123"/>
      <c r="P129" s="1123"/>
      <c r="Q129" s="1123"/>
      <c r="R129" s="1123"/>
      <c r="S129" s="1123"/>
      <c r="T129" s="1123"/>
      <c r="U129" s="1123"/>
      <c r="V129" s="1123"/>
      <c r="W129" s="1123"/>
      <c r="X129" s="1123"/>
      <c r="Y129" s="1123"/>
      <c r="Z129" s="1123"/>
      <c r="AA129" s="997"/>
      <c r="AB129" s="1124"/>
      <c r="AC129" s="997"/>
    </row>
    <row r="130" spans="1:29">
      <c r="A130" s="1125" t="s">
        <v>2114</v>
      </c>
      <c r="B130" s="1128" t="s">
        <v>1257</v>
      </c>
      <c r="C130" s="1327"/>
      <c r="D130" s="737" t="s">
        <v>18</v>
      </c>
      <c r="E130" s="1123">
        <v>9</v>
      </c>
      <c r="F130" s="1123">
        <v>4</v>
      </c>
      <c r="G130" s="1123">
        <v>10</v>
      </c>
      <c r="H130" s="1123">
        <v>2</v>
      </c>
      <c r="I130" s="1123">
        <v>6</v>
      </c>
      <c r="J130" s="1123">
        <v>4</v>
      </c>
      <c r="K130" s="1123">
        <v>3</v>
      </c>
      <c r="L130" s="1123"/>
      <c r="M130" s="1123">
        <v>1</v>
      </c>
      <c r="N130" s="1123">
        <v>1</v>
      </c>
      <c r="O130" s="1123">
        <v>7</v>
      </c>
      <c r="P130" s="1123">
        <v>4</v>
      </c>
      <c r="Q130" s="1123">
        <v>1</v>
      </c>
      <c r="R130" s="1123"/>
      <c r="S130" s="1123">
        <v>14</v>
      </c>
      <c r="T130" s="1123">
        <v>2</v>
      </c>
      <c r="U130" s="1123">
        <v>2</v>
      </c>
      <c r="V130" s="1123">
        <v>15</v>
      </c>
      <c r="W130" s="1123">
        <v>5</v>
      </c>
      <c r="X130" s="1123">
        <v>12</v>
      </c>
      <c r="Y130" s="1123">
        <v>13</v>
      </c>
      <c r="Z130" s="1123">
        <v>2</v>
      </c>
      <c r="AA130" s="997">
        <f t="shared" si="5"/>
        <v>117</v>
      </c>
      <c r="AB130" s="1126"/>
      <c r="AC130" s="997">
        <f t="shared" ref="AC130:AC148" si="6">AA130*AB130</f>
        <v>0</v>
      </c>
    </row>
    <row r="131" spans="1:29">
      <c r="A131" s="1125" t="s">
        <v>2115</v>
      </c>
      <c r="B131" s="1137" t="s">
        <v>1259</v>
      </c>
      <c r="C131" s="1327"/>
      <c r="D131" s="737"/>
      <c r="E131" s="1123"/>
      <c r="F131" s="1123"/>
      <c r="G131" s="1123"/>
      <c r="H131" s="1123"/>
      <c r="I131" s="1123"/>
      <c r="J131" s="1123"/>
      <c r="K131" s="1123"/>
      <c r="L131" s="1123"/>
      <c r="M131" s="1123"/>
      <c r="N131" s="1123"/>
      <c r="O131" s="1123"/>
      <c r="P131" s="1123"/>
      <c r="Q131" s="1123"/>
      <c r="R131" s="1123"/>
      <c r="S131" s="1123"/>
      <c r="T131" s="1123"/>
      <c r="U131" s="1123"/>
      <c r="V131" s="1123"/>
      <c r="W131" s="1123"/>
      <c r="X131" s="1123"/>
      <c r="Y131" s="1123"/>
      <c r="Z131" s="1123"/>
      <c r="AA131" s="997"/>
      <c r="AB131" s="1124"/>
      <c r="AC131" s="997"/>
    </row>
    <row r="132" spans="1:29">
      <c r="A132" s="1125" t="s">
        <v>2116</v>
      </c>
      <c r="B132" s="1128" t="s">
        <v>1260</v>
      </c>
      <c r="C132" s="1327"/>
      <c r="D132" s="737" t="s">
        <v>18</v>
      </c>
      <c r="E132" s="1123">
        <v>9</v>
      </c>
      <c r="F132" s="1123">
        <v>4</v>
      </c>
      <c r="G132" s="1123">
        <v>10</v>
      </c>
      <c r="H132" s="1123">
        <v>2</v>
      </c>
      <c r="I132" s="1123">
        <v>6</v>
      </c>
      <c r="J132" s="1123">
        <v>4</v>
      </c>
      <c r="K132" s="1123">
        <v>3</v>
      </c>
      <c r="L132" s="1123"/>
      <c r="M132" s="1123">
        <v>1</v>
      </c>
      <c r="N132" s="1123">
        <v>1</v>
      </c>
      <c r="O132" s="1123">
        <v>7</v>
      </c>
      <c r="P132" s="1123">
        <v>4</v>
      </c>
      <c r="Q132" s="1123">
        <v>1</v>
      </c>
      <c r="R132" s="1123"/>
      <c r="S132" s="1123">
        <v>14</v>
      </c>
      <c r="T132" s="1123">
        <v>2</v>
      </c>
      <c r="U132" s="1123">
        <v>2</v>
      </c>
      <c r="V132" s="1123">
        <v>15</v>
      </c>
      <c r="W132" s="1123">
        <v>5</v>
      </c>
      <c r="X132" s="1123">
        <v>12</v>
      </c>
      <c r="Y132" s="1123">
        <v>13</v>
      </c>
      <c r="Z132" s="1123">
        <v>2</v>
      </c>
      <c r="AA132" s="997">
        <f t="shared" si="5"/>
        <v>117</v>
      </c>
      <c r="AB132" s="1126"/>
      <c r="AC132" s="997">
        <f t="shared" si="6"/>
        <v>0</v>
      </c>
    </row>
    <row r="133" spans="1:29">
      <c r="A133" s="1125" t="s">
        <v>2117</v>
      </c>
      <c r="B133" s="1137" t="s">
        <v>1261</v>
      </c>
      <c r="C133" s="1327"/>
      <c r="D133" s="737"/>
      <c r="E133" s="1123"/>
      <c r="F133" s="1123"/>
      <c r="G133" s="1123"/>
      <c r="H133" s="1123"/>
      <c r="I133" s="1123"/>
      <c r="J133" s="1123"/>
      <c r="K133" s="1123"/>
      <c r="L133" s="1123"/>
      <c r="M133" s="1123"/>
      <c r="N133" s="1123"/>
      <c r="O133" s="1123"/>
      <c r="P133" s="1123"/>
      <c r="Q133" s="1123"/>
      <c r="R133" s="1123"/>
      <c r="S133" s="1123"/>
      <c r="T133" s="1123"/>
      <c r="U133" s="1123"/>
      <c r="V133" s="1123"/>
      <c r="W133" s="1123"/>
      <c r="X133" s="1123"/>
      <c r="Y133" s="1123"/>
      <c r="Z133" s="1123"/>
      <c r="AA133" s="997"/>
      <c r="AB133" s="1124"/>
      <c r="AC133" s="997"/>
    </row>
    <row r="134" spans="1:29">
      <c r="A134" s="1125" t="s">
        <v>2118</v>
      </c>
      <c r="B134" s="1128" t="s">
        <v>2819</v>
      </c>
      <c r="C134" s="1327"/>
      <c r="D134" s="737" t="s">
        <v>18</v>
      </c>
      <c r="E134" s="1123">
        <v>9</v>
      </c>
      <c r="F134" s="1123">
        <v>4</v>
      </c>
      <c r="G134" s="1123">
        <v>10</v>
      </c>
      <c r="H134" s="1123">
        <v>2</v>
      </c>
      <c r="I134" s="1123">
        <v>6</v>
      </c>
      <c r="J134" s="1123">
        <v>4</v>
      </c>
      <c r="K134" s="1123">
        <v>3</v>
      </c>
      <c r="L134" s="1123"/>
      <c r="M134" s="1123">
        <v>1</v>
      </c>
      <c r="N134" s="1123">
        <v>1</v>
      </c>
      <c r="O134" s="1123">
        <v>7</v>
      </c>
      <c r="P134" s="1123">
        <v>4</v>
      </c>
      <c r="Q134" s="1123">
        <v>1</v>
      </c>
      <c r="R134" s="1123"/>
      <c r="S134" s="1123">
        <v>14</v>
      </c>
      <c r="T134" s="1123">
        <v>2</v>
      </c>
      <c r="U134" s="1123">
        <v>2</v>
      </c>
      <c r="V134" s="1123">
        <v>15</v>
      </c>
      <c r="W134" s="1123">
        <v>5</v>
      </c>
      <c r="X134" s="1123">
        <v>12</v>
      </c>
      <c r="Y134" s="1123">
        <v>13</v>
      </c>
      <c r="Z134" s="1123">
        <v>2</v>
      </c>
      <c r="AA134" s="997">
        <f t="shared" si="5"/>
        <v>117</v>
      </c>
      <c r="AB134" s="1126"/>
      <c r="AC134" s="997">
        <f t="shared" si="6"/>
        <v>0</v>
      </c>
    </row>
    <row r="135" spans="1:29">
      <c r="A135" s="1122" t="s">
        <v>2119</v>
      </c>
      <c r="B135" s="1140" t="s">
        <v>791</v>
      </c>
      <c r="C135" s="1327" t="s">
        <v>2827</v>
      </c>
      <c r="D135" s="737"/>
      <c r="E135" s="1123"/>
      <c r="F135" s="1123"/>
      <c r="G135" s="1123"/>
      <c r="H135" s="1123"/>
      <c r="I135" s="1123"/>
      <c r="J135" s="1123"/>
      <c r="K135" s="1123"/>
      <c r="L135" s="1123"/>
      <c r="M135" s="1123"/>
      <c r="N135" s="1123"/>
      <c r="O135" s="1123"/>
      <c r="P135" s="1123"/>
      <c r="Q135" s="1123"/>
      <c r="R135" s="1123"/>
      <c r="S135" s="1123"/>
      <c r="T135" s="1123"/>
      <c r="U135" s="1123"/>
      <c r="V135" s="1123"/>
      <c r="W135" s="1123"/>
      <c r="X135" s="1123"/>
      <c r="Y135" s="1123"/>
      <c r="Z135" s="1123"/>
      <c r="AA135" s="997"/>
      <c r="AB135" s="1124"/>
      <c r="AC135" s="997"/>
    </row>
    <row r="136" spans="1:29" ht="42.75">
      <c r="A136" s="1125" t="s">
        <v>2120</v>
      </c>
      <c r="B136" s="1136" t="s">
        <v>1262</v>
      </c>
      <c r="C136" s="1327"/>
      <c r="D136" s="737"/>
      <c r="E136" s="1123"/>
      <c r="F136" s="1123"/>
      <c r="G136" s="1123"/>
      <c r="H136" s="1123"/>
      <c r="I136" s="1123"/>
      <c r="J136" s="1123"/>
      <c r="K136" s="1123"/>
      <c r="L136" s="1123"/>
      <c r="M136" s="1123"/>
      <c r="N136" s="1123"/>
      <c r="O136" s="1123"/>
      <c r="P136" s="1123"/>
      <c r="Q136" s="1123"/>
      <c r="R136" s="1123"/>
      <c r="S136" s="1123"/>
      <c r="T136" s="1123"/>
      <c r="U136" s="1123"/>
      <c r="V136" s="1123"/>
      <c r="W136" s="1123"/>
      <c r="X136" s="1123"/>
      <c r="Y136" s="1123"/>
      <c r="Z136" s="1123"/>
      <c r="AA136" s="997"/>
      <c r="AB136" s="1124"/>
      <c r="AC136" s="997"/>
    </row>
    <row r="137" spans="1:29">
      <c r="A137" s="1125" t="s">
        <v>2121</v>
      </c>
      <c r="B137" s="1137" t="s">
        <v>1251</v>
      </c>
      <c r="C137" s="1327"/>
      <c r="D137" s="737"/>
      <c r="E137" s="1123"/>
      <c r="F137" s="1123"/>
      <c r="G137" s="1123"/>
      <c r="H137" s="1123"/>
      <c r="I137" s="1123"/>
      <c r="J137" s="1123"/>
      <c r="K137" s="1123"/>
      <c r="L137" s="1123"/>
      <c r="M137" s="1123"/>
      <c r="N137" s="1123"/>
      <c r="O137" s="1123"/>
      <c r="P137" s="1123"/>
      <c r="Q137" s="1123"/>
      <c r="R137" s="1123"/>
      <c r="S137" s="1123"/>
      <c r="T137" s="1123"/>
      <c r="U137" s="1123"/>
      <c r="V137" s="1123"/>
      <c r="W137" s="1123"/>
      <c r="X137" s="1123"/>
      <c r="Y137" s="1123"/>
      <c r="Z137" s="1123"/>
      <c r="AA137" s="997"/>
      <c r="AB137" s="1124"/>
      <c r="AC137" s="997"/>
    </row>
    <row r="138" spans="1:29">
      <c r="A138" s="1125" t="s">
        <v>2122</v>
      </c>
      <c r="B138" s="1138" t="s">
        <v>2820</v>
      </c>
      <c r="C138" s="1327"/>
      <c r="D138" s="737" t="s">
        <v>18</v>
      </c>
      <c r="E138" s="1123">
        <v>1</v>
      </c>
      <c r="F138" s="1123"/>
      <c r="G138" s="1123">
        <v>5</v>
      </c>
      <c r="H138" s="1123"/>
      <c r="I138" s="1123">
        <v>1</v>
      </c>
      <c r="J138" s="1123"/>
      <c r="K138" s="1123"/>
      <c r="L138" s="1123"/>
      <c r="M138" s="1123"/>
      <c r="N138" s="1123"/>
      <c r="O138" s="1123"/>
      <c r="P138" s="1123"/>
      <c r="Q138" s="1123"/>
      <c r="R138" s="1123"/>
      <c r="S138" s="1123"/>
      <c r="T138" s="1123"/>
      <c r="U138" s="1123"/>
      <c r="V138" s="1123"/>
      <c r="W138" s="1123"/>
      <c r="X138" s="1123"/>
      <c r="Y138" s="1123"/>
      <c r="Z138" s="1123"/>
      <c r="AA138" s="997">
        <f t="shared" si="5"/>
        <v>7</v>
      </c>
      <c r="AB138" s="1126"/>
      <c r="AC138" s="997">
        <f t="shared" si="6"/>
        <v>0</v>
      </c>
    </row>
    <row r="139" spans="1:29">
      <c r="A139" s="1125" t="s">
        <v>2123</v>
      </c>
      <c r="B139" s="1138" t="s">
        <v>2821</v>
      </c>
      <c r="C139" s="1327"/>
      <c r="D139" s="737" t="s">
        <v>18</v>
      </c>
      <c r="E139" s="1123"/>
      <c r="F139" s="1123"/>
      <c r="G139" s="1123"/>
      <c r="H139" s="1123">
        <v>2</v>
      </c>
      <c r="I139" s="1123"/>
      <c r="J139" s="1123"/>
      <c r="K139" s="1123"/>
      <c r="L139" s="1123"/>
      <c r="M139" s="1123"/>
      <c r="N139" s="1123"/>
      <c r="O139" s="1123"/>
      <c r="P139" s="1123"/>
      <c r="Q139" s="1123"/>
      <c r="R139" s="1123"/>
      <c r="S139" s="1123"/>
      <c r="T139" s="1123"/>
      <c r="U139" s="1123"/>
      <c r="V139" s="1123"/>
      <c r="W139" s="1123"/>
      <c r="X139" s="1123"/>
      <c r="Y139" s="1123"/>
      <c r="Z139" s="1123"/>
      <c r="AA139" s="997">
        <f t="shared" si="5"/>
        <v>2</v>
      </c>
      <c r="AB139" s="1126"/>
      <c r="AC139" s="997">
        <f t="shared" si="6"/>
        <v>0</v>
      </c>
    </row>
    <row r="140" spans="1:29">
      <c r="A140" s="1125" t="s">
        <v>2124</v>
      </c>
      <c r="B140" s="1138" t="s">
        <v>2822</v>
      </c>
      <c r="C140" s="1327"/>
      <c r="D140" s="737" t="s">
        <v>18</v>
      </c>
      <c r="E140" s="1123"/>
      <c r="F140" s="1123"/>
      <c r="G140" s="1123"/>
      <c r="H140" s="1123"/>
      <c r="I140" s="1123"/>
      <c r="J140" s="1123"/>
      <c r="K140" s="1123"/>
      <c r="L140" s="1123"/>
      <c r="M140" s="1123"/>
      <c r="N140" s="1123"/>
      <c r="O140" s="1123"/>
      <c r="P140" s="1123"/>
      <c r="Q140" s="1123"/>
      <c r="R140" s="1123"/>
      <c r="S140" s="1123">
        <v>1</v>
      </c>
      <c r="T140" s="1123"/>
      <c r="U140" s="1123">
        <v>2</v>
      </c>
      <c r="V140" s="1123">
        <v>6</v>
      </c>
      <c r="W140" s="1123">
        <v>2</v>
      </c>
      <c r="X140" s="1123"/>
      <c r="Y140" s="1123">
        <v>1</v>
      </c>
      <c r="Z140" s="1123"/>
      <c r="AA140" s="997">
        <f t="shared" si="5"/>
        <v>12</v>
      </c>
      <c r="AB140" s="1126"/>
      <c r="AC140" s="997">
        <f t="shared" si="6"/>
        <v>0</v>
      </c>
    </row>
    <row r="141" spans="1:29">
      <c r="A141" s="1125" t="s">
        <v>2125</v>
      </c>
      <c r="B141" s="1138" t="s">
        <v>2823</v>
      </c>
      <c r="C141" s="1327"/>
      <c r="D141" s="737" t="s">
        <v>18</v>
      </c>
      <c r="E141" s="1123"/>
      <c r="F141" s="1123"/>
      <c r="G141" s="1123"/>
      <c r="H141" s="1123"/>
      <c r="I141" s="1123"/>
      <c r="J141" s="1123">
        <v>1</v>
      </c>
      <c r="K141" s="1123"/>
      <c r="L141" s="1123"/>
      <c r="M141" s="1123"/>
      <c r="N141" s="1123"/>
      <c r="O141" s="1123"/>
      <c r="P141" s="1123"/>
      <c r="Q141" s="1123">
        <v>1</v>
      </c>
      <c r="R141" s="1123"/>
      <c r="S141" s="1123">
        <v>1</v>
      </c>
      <c r="T141" s="1123"/>
      <c r="U141" s="1123"/>
      <c r="V141" s="1123"/>
      <c r="W141" s="1123"/>
      <c r="X141" s="1123"/>
      <c r="Y141" s="1123"/>
      <c r="Z141" s="1123">
        <v>1</v>
      </c>
      <c r="AA141" s="997">
        <f t="shared" si="5"/>
        <v>4</v>
      </c>
      <c r="AB141" s="1126"/>
      <c r="AC141" s="997">
        <f t="shared" si="6"/>
        <v>0</v>
      </c>
    </row>
    <row r="142" spans="1:29">
      <c r="A142" s="1125" t="s">
        <v>2126</v>
      </c>
      <c r="B142" s="1137" t="s">
        <v>1252</v>
      </c>
      <c r="C142" s="1327"/>
      <c r="D142" s="737"/>
      <c r="E142" s="1123"/>
      <c r="F142" s="1123"/>
      <c r="G142" s="1123"/>
      <c r="H142" s="1123"/>
      <c r="I142" s="1123"/>
      <c r="J142" s="1123"/>
      <c r="K142" s="1123"/>
      <c r="L142" s="1123"/>
      <c r="M142" s="1123"/>
      <c r="N142" s="1123"/>
      <c r="O142" s="1123"/>
      <c r="P142" s="1123"/>
      <c r="Q142" s="1123"/>
      <c r="R142" s="1123"/>
      <c r="S142" s="1123"/>
      <c r="T142" s="1123"/>
      <c r="U142" s="1123"/>
      <c r="V142" s="1123"/>
      <c r="W142" s="1123"/>
      <c r="X142" s="1123"/>
      <c r="Y142" s="1123"/>
      <c r="Z142" s="1123"/>
      <c r="AA142" s="997"/>
      <c r="AB142" s="1124"/>
      <c r="AC142" s="997"/>
    </row>
    <row r="143" spans="1:29">
      <c r="A143" s="1125" t="s">
        <v>2127</v>
      </c>
      <c r="B143" s="1138" t="s">
        <v>1297</v>
      </c>
      <c r="C143" s="1327"/>
      <c r="D143" s="737" t="s">
        <v>18</v>
      </c>
      <c r="E143" s="1123"/>
      <c r="F143" s="1123"/>
      <c r="G143" s="1123"/>
      <c r="H143" s="1123"/>
      <c r="I143" s="1123"/>
      <c r="J143" s="1123">
        <v>1</v>
      </c>
      <c r="K143" s="1123"/>
      <c r="L143" s="1123"/>
      <c r="M143" s="1123"/>
      <c r="N143" s="1123"/>
      <c r="O143" s="1123"/>
      <c r="P143" s="1123">
        <v>1</v>
      </c>
      <c r="Q143" s="1123"/>
      <c r="R143" s="1123"/>
      <c r="S143" s="1123"/>
      <c r="T143" s="1123"/>
      <c r="U143" s="1123"/>
      <c r="V143" s="1123"/>
      <c r="W143" s="1123">
        <v>1</v>
      </c>
      <c r="X143" s="1123">
        <v>1</v>
      </c>
      <c r="Y143" s="1123"/>
      <c r="Z143" s="1123"/>
      <c r="AA143" s="997">
        <f t="shared" si="5"/>
        <v>4</v>
      </c>
      <c r="AB143" s="1126"/>
      <c r="AC143" s="997">
        <f t="shared" si="6"/>
        <v>0</v>
      </c>
    </row>
    <row r="144" spans="1:29" ht="28.5">
      <c r="A144" s="1125" t="s">
        <v>2128</v>
      </c>
      <c r="B144" s="1136" t="s">
        <v>1263</v>
      </c>
      <c r="C144" s="1327"/>
      <c r="D144" s="737"/>
      <c r="E144" s="1123"/>
      <c r="F144" s="1123"/>
      <c r="G144" s="1123"/>
      <c r="H144" s="1123"/>
      <c r="I144" s="1123"/>
      <c r="J144" s="1123"/>
      <c r="K144" s="1123"/>
      <c r="L144" s="1123"/>
      <c r="M144" s="1123"/>
      <c r="N144" s="1123"/>
      <c r="O144" s="1123"/>
      <c r="P144" s="1123"/>
      <c r="Q144" s="1123"/>
      <c r="R144" s="1123"/>
      <c r="S144" s="1123"/>
      <c r="T144" s="1123"/>
      <c r="U144" s="1123"/>
      <c r="V144" s="1123"/>
      <c r="W144" s="1123"/>
      <c r="X144" s="1123"/>
      <c r="Y144" s="1123"/>
      <c r="Z144" s="1123"/>
      <c r="AA144" s="997"/>
      <c r="AB144" s="1124"/>
      <c r="AC144" s="997"/>
    </row>
    <row r="145" spans="1:29">
      <c r="A145" s="1125" t="s">
        <v>2129</v>
      </c>
      <c r="B145" s="1128" t="s">
        <v>363</v>
      </c>
      <c r="C145" s="1327"/>
      <c r="D145" s="737" t="s">
        <v>18</v>
      </c>
      <c r="E145" s="1123">
        <v>1</v>
      </c>
      <c r="F145" s="1123"/>
      <c r="G145" s="1123">
        <v>5</v>
      </c>
      <c r="H145" s="1123">
        <v>2</v>
      </c>
      <c r="I145" s="1123">
        <v>1</v>
      </c>
      <c r="J145" s="1123">
        <v>2</v>
      </c>
      <c r="K145" s="1123"/>
      <c r="L145" s="1123"/>
      <c r="M145" s="1123"/>
      <c r="N145" s="1123"/>
      <c r="O145" s="1123"/>
      <c r="P145" s="1123">
        <v>1</v>
      </c>
      <c r="Q145" s="1123">
        <v>1</v>
      </c>
      <c r="R145" s="1123"/>
      <c r="S145" s="1123">
        <v>2</v>
      </c>
      <c r="T145" s="1123"/>
      <c r="U145" s="1123">
        <v>2</v>
      </c>
      <c r="V145" s="1123">
        <v>6</v>
      </c>
      <c r="W145" s="1123">
        <v>2</v>
      </c>
      <c r="X145" s="1123">
        <v>1</v>
      </c>
      <c r="Y145" s="1123">
        <v>1</v>
      </c>
      <c r="Z145" s="1123">
        <v>1</v>
      </c>
      <c r="AA145" s="997">
        <f t="shared" si="5"/>
        <v>28</v>
      </c>
      <c r="AB145" s="1126"/>
      <c r="AC145" s="997">
        <f t="shared" si="6"/>
        <v>0</v>
      </c>
    </row>
    <row r="146" spans="1:29">
      <c r="A146" s="1125" t="s">
        <v>2130</v>
      </c>
      <c r="B146" s="1128" t="s">
        <v>794</v>
      </c>
      <c r="C146" s="1327"/>
      <c r="D146" s="737" t="s">
        <v>18</v>
      </c>
      <c r="E146" s="1123">
        <v>1</v>
      </c>
      <c r="F146" s="1123"/>
      <c r="G146" s="1123">
        <v>5</v>
      </c>
      <c r="H146" s="1123">
        <v>2</v>
      </c>
      <c r="I146" s="1123">
        <v>1</v>
      </c>
      <c r="J146" s="1123">
        <v>2</v>
      </c>
      <c r="K146" s="1123"/>
      <c r="L146" s="1123"/>
      <c r="M146" s="1123"/>
      <c r="N146" s="1123"/>
      <c r="O146" s="1123"/>
      <c r="P146" s="1123">
        <v>1</v>
      </c>
      <c r="Q146" s="1123">
        <v>1</v>
      </c>
      <c r="R146" s="1123"/>
      <c r="S146" s="1123">
        <v>2</v>
      </c>
      <c r="T146" s="1123"/>
      <c r="U146" s="1123">
        <v>2</v>
      </c>
      <c r="V146" s="1123">
        <v>6</v>
      </c>
      <c r="W146" s="1123">
        <v>2</v>
      </c>
      <c r="X146" s="1123">
        <v>1</v>
      </c>
      <c r="Y146" s="1123">
        <v>1</v>
      </c>
      <c r="Z146" s="1123">
        <v>1</v>
      </c>
      <c r="AA146" s="997">
        <f t="shared" si="5"/>
        <v>28</v>
      </c>
      <c r="AB146" s="1126"/>
      <c r="AC146" s="997">
        <f t="shared" si="6"/>
        <v>0</v>
      </c>
    </row>
    <row r="147" spans="1:29">
      <c r="A147" s="1122" t="s">
        <v>2131</v>
      </c>
      <c r="B147" s="1140" t="s">
        <v>1287</v>
      </c>
      <c r="C147" s="1327" t="s">
        <v>2828</v>
      </c>
      <c r="D147" s="737"/>
      <c r="E147" s="1123"/>
      <c r="F147" s="1123"/>
      <c r="G147" s="1123"/>
      <c r="H147" s="1123"/>
      <c r="I147" s="1123"/>
      <c r="J147" s="1123"/>
      <c r="K147" s="1123"/>
      <c r="L147" s="1123"/>
      <c r="M147" s="1123"/>
      <c r="N147" s="1123"/>
      <c r="O147" s="1123"/>
      <c r="P147" s="1123"/>
      <c r="Q147" s="1123"/>
      <c r="R147" s="1123"/>
      <c r="S147" s="1123"/>
      <c r="T147" s="1123"/>
      <c r="U147" s="1123"/>
      <c r="V147" s="1123"/>
      <c r="W147" s="1123"/>
      <c r="X147" s="1123"/>
      <c r="Y147" s="1123"/>
      <c r="Z147" s="1123"/>
      <c r="AA147" s="997"/>
      <c r="AB147" s="1124"/>
      <c r="AC147" s="997"/>
    </row>
    <row r="148" spans="1:29" ht="28.5">
      <c r="A148" s="1125" t="s">
        <v>2132</v>
      </c>
      <c r="B148" s="1128" t="s">
        <v>1304</v>
      </c>
      <c r="C148" s="1327"/>
      <c r="D148" s="737" t="s">
        <v>18</v>
      </c>
      <c r="E148" s="1123"/>
      <c r="F148" s="1123"/>
      <c r="G148" s="1123"/>
      <c r="H148" s="1123"/>
      <c r="I148" s="1123"/>
      <c r="J148" s="1123"/>
      <c r="K148" s="1123"/>
      <c r="L148" s="1123"/>
      <c r="M148" s="1123"/>
      <c r="N148" s="1123"/>
      <c r="O148" s="1123"/>
      <c r="P148" s="1123"/>
      <c r="Q148" s="1123"/>
      <c r="R148" s="1123"/>
      <c r="S148" s="1123"/>
      <c r="T148" s="1123"/>
      <c r="U148" s="1123"/>
      <c r="V148" s="1123"/>
      <c r="W148" s="1123"/>
      <c r="X148" s="1123"/>
      <c r="Y148" s="1123">
        <v>1</v>
      </c>
      <c r="Z148" s="1123"/>
      <c r="AA148" s="997">
        <f t="shared" si="5"/>
        <v>1</v>
      </c>
      <c r="AB148" s="1126"/>
      <c r="AC148" s="997">
        <f t="shared" si="6"/>
        <v>0</v>
      </c>
    </row>
  </sheetData>
  <sheetProtection algorithmName="SHA-512" hashValue="uehGhkwpDeJKS6TkLSbmxdvxt3Za3qZxtYqj8tGPZDjSmQBTuRCb8BXE1jgI10OW/2uayEmiJHcFBIXFA0n1Zg==" saltValue="NO/Ail9Ucd8/AGxujwgQng==" spinCount="100000" sheet="1" objects="1" scenarios="1"/>
  <mergeCells count="7">
    <mergeCell ref="AC2:AC3"/>
    <mergeCell ref="A2:A3"/>
    <mergeCell ref="B2:B3"/>
    <mergeCell ref="C2:C3"/>
    <mergeCell ref="D2:D3"/>
    <mergeCell ref="AA2:AA3"/>
    <mergeCell ref="AB2:AB3"/>
  </mergeCells>
  <pageMargins left="0.7" right="0.7" top="0.75" bottom="0.75" header="0.3" footer="0.3"/>
  <pageSetup paperSize="9" scale="78" orientation="portrait" r:id="rId1"/>
  <colBreaks count="1" manualBreakCount="1">
    <brk id="23"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DB84C80DEA0A6645BBC8EF407921B9A8" ma:contentTypeVersion="1" ma:contentTypeDescription="Stvaranje novog dokumenta." ma:contentTypeScope="" ma:versionID="18c5ffc45ea30f8c0178ccca1d8be567">
  <xsd:schema xmlns:xsd="http://www.w3.org/2001/XMLSchema" xmlns:xs="http://www.w3.org/2001/XMLSchema" xmlns:p="http://schemas.microsoft.com/office/2006/metadata/properties" xmlns:ns2="061eb34a-0eb3-4fa7-b038-50212fda866b" targetNamespace="http://schemas.microsoft.com/office/2006/metadata/properties" ma:root="true" ma:fieldsID="3f208e51e4af92631cda9c20291feb01" ns2:_="">
    <xsd:import namespace="061eb34a-0eb3-4fa7-b038-50212fda866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1eb34a-0eb3-4fa7-b038-50212fda866b" elementFormDefault="qualified">
    <xsd:import namespace="http://schemas.microsoft.com/office/2006/documentManagement/types"/>
    <xsd:import namespace="http://schemas.microsoft.com/office/infopath/2007/PartnerControls"/>
    <xsd:element name="SharedWithUsers" ma:index="8" nillable="true" ma:displayName="Zajednički se koristi 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09EC010-7D2B-4B76-9690-C846685064DA}">
  <ds:schemaRefs>
    <ds:schemaRef ds:uri="http://schemas.microsoft.com/sharepoint/v3/contenttype/forms"/>
  </ds:schemaRefs>
</ds:datastoreItem>
</file>

<file path=customXml/itemProps2.xml><?xml version="1.0" encoding="utf-8"?>
<ds:datastoreItem xmlns:ds="http://schemas.openxmlformats.org/officeDocument/2006/customXml" ds:itemID="{1755F03F-1C78-495D-9490-991C43F091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1eb34a-0eb3-4fa7-b038-50212fda86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FD2310-DCD6-4EC3-8D2C-E450A683AC8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REKAPITULACIJA</vt:lpstr>
      <vt:lpstr>1. KOLEKTORI</vt:lpstr>
      <vt:lpstr>1. Pitanja za KKP</vt:lpstr>
      <vt:lpstr>2. Pitanja za KKP</vt:lpstr>
      <vt:lpstr>2. SANACIJA KOLEKTORA- CIPP</vt:lpstr>
      <vt:lpstr>3. PRELJEVI</vt:lpstr>
      <vt:lpstr>4. VODOOPSKRBA građ</vt:lpstr>
      <vt:lpstr>5. REKONSTR VODOVODA građ</vt:lpstr>
      <vt:lpstr>6.REKONSTR VODOVODA stroj</vt:lpstr>
      <vt:lpstr>7. CS- građ</vt:lpstr>
      <vt:lpstr>8. CS elektro</vt:lpstr>
      <vt:lpstr>9. CS stroj</vt:lpstr>
      <vt:lpstr>'1. KOLEKTORI'!_Toc480224838</vt:lpstr>
      <vt:lpstr>'1. KOLEKTORI'!Print_Area</vt:lpstr>
      <vt:lpstr>'2. SANACIJA KOLEKTORA- CIPP'!Print_Area</vt:lpstr>
      <vt:lpstr>'3. PRELJEVI'!Print_Area</vt:lpstr>
      <vt:lpstr>'4. VODOOPSKRBA građ'!Print_Area</vt:lpstr>
      <vt:lpstr>'5. REKONSTR VODOVODA građ'!Print_Area</vt:lpstr>
      <vt:lpstr>'7. CS- građ'!Print_Area</vt:lpstr>
      <vt:lpstr>'8. CS elektro'!Print_Area</vt:lpstr>
      <vt:lpstr>'9. CS stroj'!Print_Area</vt:lpstr>
      <vt:lpstr>REKAPITULACIJA!Print_Area</vt:lpstr>
      <vt:lpstr>'1. KOLEKTORI'!Print_Titles</vt:lpstr>
      <vt:lpstr>'2. SANACIJA KOLEKTORA- CIPP'!Print_Titles</vt:lpstr>
      <vt:lpstr>'3. PRELJEVI'!Print_Titles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 Bauer</dc:creator>
  <cp:lastModifiedBy>karmen.komljen.petos</cp:lastModifiedBy>
  <cp:revision>1</cp:revision>
  <cp:lastPrinted>2019-02-25T09:09:09Z</cp:lastPrinted>
  <dcterms:created xsi:type="dcterms:W3CDTF">1999-01-18T07:34:14Z</dcterms:created>
  <dcterms:modified xsi:type="dcterms:W3CDTF">2020-05-20T00:52:53Z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0x010100DB84C80DEA0A6645BBC8EF407921B9A8</vt:lpwstr>
  </property>
</Properties>
</file>